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0_THIS_WEEK\NicolaL\"/>
    </mc:Choice>
  </mc:AlternateContent>
  <xr:revisionPtr revIDLastSave="0" documentId="13_ncr:1_{A9F8634C-E1A8-487F-8872-87BC4A59A043}" xr6:coauthVersionLast="47" xr6:coauthVersionMax="47" xr10:uidLastSave="{00000000-0000-0000-0000-000000000000}"/>
  <bookViews>
    <workbookView xWindow="-120" yWindow="-120" windowWidth="29040" windowHeight="15840" xr2:uid="{AEF6B860-AF9B-460F-ACD7-E4860DA3A716}"/>
  </bookViews>
  <sheets>
    <sheet name="Slip Rate" sheetId="1" r:id="rId1"/>
    <sheet name="EQ Timings RI" sheetId="2" r:id="rId2"/>
    <sheet name="Single Event Displacement" sheetId="3" r:id="rId3"/>
    <sheet name="Reference Lis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813" i="1" l="1"/>
  <c r="AD813" i="1"/>
  <c r="AH812" i="1"/>
  <c r="AG812" i="1"/>
  <c r="AE812" i="1"/>
  <c r="AD812" i="1"/>
  <c r="AH811" i="1"/>
  <c r="AG811" i="1"/>
  <c r="AE809" i="1"/>
  <c r="AD809" i="1"/>
  <c r="AE807" i="1"/>
  <c r="AD807" i="1"/>
  <c r="AE804" i="1"/>
  <c r="AD804" i="1"/>
  <c r="AE803" i="1"/>
  <c r="AD803" i="1"/>
  <c r="AE801" i="1"/>
  <c r="AD801" i="1"/>
  <c r="U402" i="2" l="1"/>
  <c r="W450" i="2" l="1"/>
  <c r="V450" i="2"/>
  <c r="Z449" i="2"/>
  <c r="Y449" i="2"/>
  <c r="W449" i="2"/>
  <c r="V449" i="2"/>
  <c r="Z672" i="2"/>
  <c r="Y672" i="2"/>
  <c r="W672" i="2"/>
  <c r="V672" i="2"/>
  <c r="W671" i="2"/>
  <c r="V671" i="2"/>
  <c r="V675" i="2"/>
  <c r="W675" i="2"/>
  <c r="Y675" i="2"/>
  <c r="Z675" i="2"/>
  <c r="Z445" i="2"/>
  <c r="Y445" i="2"/>
  <c r="U161" i="2" l="1"/>
  <c r="X161" i="2"/>
  <c r="X125" i="2"/>
  <c r="X124" i="2"/>
  <c r="X123" i="2"/>
  <c r="X122" i="2"/>
  <c r="X121" i="2"/>
  <c r="X120" i="2"/>
  <c r="X119" i="2"/>
  <c r="X118" i="2"/>
  <c r="X117" i="2"/>
  <c r="X116" i="2"/>
  <c r="X115" i="2"/>
  <c r="X114" i="2"/>
  <c r="X113" i="2"/>
  <c r="X112" i="2"/>
  <c r="X111" i="2"/>
  <c r="U125" i="2"/>
  <c r="U124" i="2"/>
  <c r="U123" i="2"/>
  <c r="U122" i="2"/>
  <c r="U121" i="2"/>
  <c r="U120" i="2"/>
  <c r="U119" i="2"/>
  <c r="U118" i="2"/>
  <c r="U117" i="2"/>
  <c r="U116" i="2"/>
  <c r="U115" i="2"/>
  <c r="U114" i="2"/>
  <c r="U113" i="2"/>
  <c r="U112" i="2"/>
  <c r="U111" i="2"/>
  <c r="X61" i="2"/>
  <c r="X60" i="2"/>
  <c r="X59" i="2"/>
  <c r="X58" i="2"/>
  <c r="X57" i="2"/>
  <c r="X56" i="2"/>
  <c r="X55" i="2"/>
  <c r="X54" i="2"/>
  <c r="X53" i="2"/>
  <c r="U61" i="2"/>
  <c r="U60" i="2"/>
  <c r="U59" i="2"/>
  <c r="U58" i="2"/>
  <c r="U57" i="2"/>
  <c r="U56" i="2"/>
  <c r="U55" i="2"/>
  <c r="U54" i="2"/>
  <c r="U53" i="2"/>
  <c r="X84" i="2"/>
  <c r="X83" i="2"/>
  <c r="X82" i="2"/>
  <c r="X81" i="2"/>
  <c r="X80" i="2"/>
  <c r="X79" i="2"/>
  <c r="U84" i="2"/>
  <c r="U83" i="2"/>
  <c r="U82" i="2"/>
  <c r="U81" i="2"/>
  <c r="U80" i="2"/>
  <c r="U79" i="2"/>
  <c r="X78" i="2"/>
  <c r="X77" i="2"/>
  <c r="X76" i="2"/>
  <c r="X75" i="2"/>
  <c r="X74" i="2"/>
  <c r="X73" i="2"/>
  <c r="X72" i="2"/>
  <c r="X71" i="2"/>
  <c r="X70" i="2"/>
  <c r="X69" i="2"/>
  <c r="X68" i="2"/>
  <c r="X67" i="2"/>
  <c r="X66" i="2"/>
  <c r="X65" i="2"/>
  <c r="X64" i="2"/>
  <c r="U78" i="2"/>
  <c r="U77" i="2"/>
  <c r="U76" i="2"/>
  <c r="U75" i="2"/>
  <c r="U74" i="2"/>
  <c r="U73" i="2"/>
  <c r="U72" i="2"/>
  <c r="U71" i="2"/>
  <c r="U70" i="2"/>
  <c r="U69" i="2"/>
  <c r="U68" i="2"/>
  <c r="U67" i="2"/>
  <c r="U66" i="2"/>
  <c r="U65" i="2"/>
  <c r="U64" i="2"/>
  <c r="X150" i="2"/>
  <c r="X149" i="2"/>
  <c r="X148" i="2"/>
  <c r="X147" i="2"/>
  <c r="X146" i="2"/>
  <c r="X145" i="2"/>
  <c r="X144" i="2"/>
  <c r="X143" i="2"/>
  <c r="X142" i="2"/>
  <c r="X141" i="2"/>
  <c r="X140" i="2"/>
  <c r="U150" i="2"/>
  <c r="U149" i="2"/>
  <c r="U148" i="2"/>
  <c r="U147" i="2"/>
  <c r="U146" i="2"/>
  <c r="U145" i="2"/>
  <c r="U144" i="2"/>
  <c r="U143" i="2"/>
  <c r="U142" i="2"/>
  <c r="U141" i="2"/>
  <c r="U140" i="2"/>
  <c r="X139" i="2"/>
  <c r="U139" i="2"/>
  <c r="X133" i="2"/>
  <c r="U133" i="2"/>
  <c r="W699" i="2" l="1"/>
  <c r="W698" i="2"/>
  <c r="W697" i="2"/>
  <c r="W696" i="2"/>
  <c r="W695" i="2"/>
  <c r="V699" i="2"/>
  <c r="V698" i="2"/>
  <c r="V697" i="2"/>
  <c r="V696" i="2"/>
  <c r="V695" i="2"/>
  <c r="W290" i="2" l="1"/>
  <c r="W289" i="2"/>
  <c r="W288" i="2"/>
  <c r="W287" i="2"/>
  <c r="W286" i="2"/>
  <c r="W285" i="2"/>
  <c r="V290" i="2"/>
  <c r="V289" i="2"/>
  <c r="V288" i="2"/>
  <c r="V287" i="2"/>
  <c r="V286" i="2"/>
  <c r="V285" i="2"/>
  <c r="W828" i="2"/>
  <c r="W827" i="2"/>
  <c r="W826" i="2"/>
  <c r="W825" i="2"/>
  <c r="W824" i="2"/>
  <c r="W823" i="2"/>
  <c r="W822" i="2"/>
  <c r="W821" i="2"/>
  <c r="V826" i="2"/>
  <c r="V828" i="2"/>
  <c r="V827" i="2"/>
  <c r="V825" i="2"/>
  <c r="V824" i="2"/>
  <c r="V823" i="2"/>
  <c r="V822" i="2"/>
  <c r="V821" i="2"/>
  <c r="Z931" i="2" l="1"/>
  <c r="Y931" i="2"/>
  <c r="W931" i="2"/>
  <c r="V931" i="2"/>
  <c r="AE396" i="1" l="1"/>
  <c r="AD396" i="1"/>
  <c r="W316" i="2" l="1"/>
  <c r="V316" i="2"/>
  <c r="W300" i="2"/>
  <c r="V300" i="2"/>
  <c r="W299" i="2"/>
  <c r="V299" i="2"/>
  <c r="W298" i="2"/>
  <c r="V298" i="2"/>
  <c r="Z297" i="2"/>
  <c r="Y297" i="2"/>
  <c r="Z296" i="2"/>
  <c r="Y296" i="2"/>
  <c r="W296" i="2"/>
  <c r="V296" i="2"/>
  <c r="X321" i="2"/>
  <c r="U321" i="2"/>
  <c r="U329" i="2"/>
  <c r="X329" i="2"/>
  <c r="U331" i="2"/>
  <c r="X331" i="2"/>
  <c r="Y953" i="2"/>
  <c r="W953" i="2"/>
  <c r="V953" i="2"/>
  <c r="Z951" i="2"/>
  <c r="Y951" i="2"/>
  <c r="W951" i="2"/>
  <c r="V951" i="2"/>
  <c r="Z950" i="2"/>
  <c r="Y950" i="2"/>
  <c r="W950" i="2"/>
  <c r="V950" i="2"/>
  <c r="Z949" i="2"/>
  <c r="Y949" i="2"/>
  <c r="Z948" i="2"/>
  <c r="Y948" i="2"/>
  <c r="W947" i="2"/>
  <c r="V947" i="2"/>
  <c r="X946" i="2"/>
  <c r="U946" i="2"/>
  <c r="X945" i="2"/>
  <c r="U945" i="2"/>
  <c r="X666" i="2"/>
  <c r="U666" i="2"/>
  <c r="X656" i="2"/>
  <c r="U656" i="2"/>
  <c r="AE269" i="1" l="1"/>
  <c r="AD269" i="1"/>
  <c r="AE268" i="1"/>
  <c r="AD268" i="1"/>
  <c r="AE267" i="1"/>
  <c r="AD267" i="1"/>
  <c r="AE266" i="1"/>
  <c r="AD266" i="1"/>
  <c r="AE265" i="1"/>
  <c r="AD265" i="1"/>
  <c r="AE264" i="1"/>
  <c r="AD264" i="1"/>
  <c r="AE263" i="1"/>
  <c r="AD263" i="1"/>
  <c r="AE262" i="1"/>
  <c r="AD262" i="1"/>
  <c r="AE261" i="1"/>
  <c r="AD261" i="1"/>
  <c r="AE260" i="1"/>
  <c r="AD260" i="1"/>
  <c r="AE327" i="1"/>
  <c r="AD327" i="1"/>
  <c r="AE259" i="1"/>
  <c r="AD259" i="1"/>
  <c r="AE258" i="1"/>
  <c r="AD258" i="1"/>
  <c r="AE257" i="1"/>
  <c r="AD257" i="1"/>
  <c r="AE256" i="1"/>
  <c r="AD256" i="1"/>
  <c r="AE255" i="1"/>
  <c r="AD255" i="1"/>
  <c r="AE254" i="1"/>
  <c r="AD254" i="1"/>
  <c r="AD553" i="1" l="1"/>
  <c r="AD552" i="1"/>
  <c r="AE735" i="1" l="1"/>
  <c r="AD735" i="1"/>
  <c r="AE603" i="1" l="1"/>
  <c r="AD603" i="1"/>
  <c r="AE616" i="1" l="1"/>
  <c r="AD616" i="1"/>
  <c r="AE387" i="1" l="1"/>
  <c r="AD387" i="1"/>
  <c r="S832" i="1" l="1"/>
  <c r="S831" i="1"/>
  <c r="Z440" i="2" l="1"/>
  <c r="Y440" i="2"/>
  <c r="W440" i="2"/>
  <c r="V440" i="2"/>
  <c r="Z676" i="2" l="1"/>
  <c r="Y676" i="2"/>
  <c r="W676" i="2"/>
  <c r="V676" i="2"/>
  <c r="Z647" i="2" l="1"/>
  <c r="Y647" i="2"/>
  <c r="W647" i="2"/>
  <c r="V647" i="2"/>
  <c r="Z648" i="2"/>
  <c r="Y648" i="2"/>
  <c r="W648" i="2"/>
  <c r="V648" i="2"/>
  <c r="W645" i="2"/>
  <c r="V645" i="2"/>
  <c r="Z646" i="2"/>
  <c r="Y646" i="2"/>
  <c r="W646" i="2"/>
  <c r="V646" i="2"/>
  <c r="Z645" i="2"/>
  <c r="Y645" i="2"/>
  <c r="Z644" i="2"/>
  <c r="Y644" i="2"/>
  <c r="W644" i="2"/>
  <c r="V644" i="2"/>
  <c r="Z643" i="2"/>
  <c r="Y643" i="2"/>
  <c r="W643" i="2"/>
  <c r="V643" i="2"/>
  <c r="Z641" i="2"/>
  <c r="Y641" i="2"/>
  <c r="W641" i="2"/>
  <c r="V641" i="2"/>
  <c r="Z640" i="2"/>
  <c r="Y640" i="2"/>
  <c r="W640" i="2"/>
  <c r="V640" i="2"/>
  <c r="Z639" i="2"/>
  <c r="Y639" i="2"/>
  <c r="Z638" i="2"/>
  <c r="Y638" i="2"/>
  <c r="W638" i="2"/>
  <c r="V638" i="2"/>
  <c r="Z637" i="2"/>
  <c r="Y637" i="2"/>
  <c r="W637" i="2"/>
  <c r="V637" i="2"/>
  <c r="W636" i="2"/>
  <c r="V636" i="2"/>
  <c r="Z635" i="2"/>
  <c r="Y635" i="2"/>
  <c r="Z636" i="2"/>
  <c r="Y636" i="2"/>
  <c r="W635" i="2"/>
  <c r="V635" i="2"/>
  <c r="W634" i="2"/>
  <c r="V634" i="2"/>
  <c r="Z634" i="2"/>
  <c r="Y634" i="2"/>
  <c r="W633" i="2"/>
  <c r="V633" i="2"/>
  <c r="Z633" i="2"/>
  <c r="Y633" i="2"/>
  <c r="W632" i="2"/>
  <c r="V632" i="2"/>
  <c r="Z632" i="2"/>
  <c r="Y632" i="2"/>
  <c r="Z679" i="2"/>
  <c r="Y679" i="2"/>
  <c r="W679" i="2"/>
  <c r="V679" i="2"/>
  <c r="Z678" i="2"/>
  <c r="Y678" i="2"/>
  <c r="W678" i="2"/>
  <c r="V678" i="2"/>
  <c r="W677" i="2"/>
  <c r="V677" i="2"/>
  <c r="Z726" i="2" l="1"/>
  <c r="Y726" i="2"/>
  <c r="W725" i="2"/>
  <c r="V725" i="2"/>
  <c r="W723" i="2"/>
  <c r="V723" i="2"/>
  <c r="W734" i="2"/>
  <c r="V734" i="2"/>
  <c r="Z733" i="2"/>
  <c r="Y733" i="2"/>
  <c r="W733" i="2"/>
  <c r="V733" i="2"/>
  <c r="W732" i="2"/>
  <c r="V732" i="2"/>
  <c r="W729" i="2"/>
  <c r="V729" i="2"/>
  <c r="Z938" i="2"/>
  <c r="Y938" i="2"/>
  <c r="Z939" i="2"/>
  <c r="Y939" i="2"/>
  <c r="W939" i="2"/>
  <c r="V939" i="2"/>
  <c r="Z728" i="2"/>
  <c r="Y728" i="2"/>
  <c r="W728" i="2"/>
  <c r="V728" i="2"/>
  <c r="W727" i="2"/>
  <c r="V727" i="2"/>
  <c r="W721" i="2"/>
  <c r="V721" i="2"/>
  <c r="Z720" i="2"/>
  <c r="Y720" i="2"/>
  <c r="W719" i="2"/>
  <c r="V719" i="2"/>
  <c r="Z935" i="2"/>
  <c r="Y935" i="2"/>
  <c r="W935" i="2"/>
  <c r="V935" i="2"/>
  <c r="Z934" i="2"/>
  <c r="Y934" i="2"/>
  <c r="W930" i="2"/>
  <c r="V930" i="2"/>
  <c r="Z926" i="2"/>
  <c r="Y926" i="2"/>
  <c r="Z925" i="2"/>
  <c r="Y925" i="2"/>
  <c r="W925" i="2"/>
  <c r="V925" i="2"/>
  <c r="W592" i="2" l="1"/>
  <c r="Z681" i="2"/>
  <c r="Y681" i="2"/>
  <c r="W680" i="2"/>
  <c r="V680" i="2"/>
  <c r="Y680" i="2"/>
  <c r="Z680" i="2"/>
  <c r="Z311" i="2"/>
  <c r="Y311" i="2"/>
  <c r="W311" i="2"/>
  <c r="V311" i="2"/>
  <c r="X394" i="2"/>
  <c r="V309" i="2"/>
  <c r="W309" i="2"/>
  <c r="Z164" i="2" l="1"/>
  <c r="Y164" i="2"/>
  <c r="W421" i="2"/>
  <c r="V421" i="2"/>
  <c r="W420" i="2"/>
  <c r="V420" i="2"/>
  <c r="Z421" i="2"/>
  <c r="Y421" i="2"/>
  <c r="Y420" i="2"/>
  <c r="Z420" i="2"/>
  <c r="Z691" i="2" l="1"/>
  <c r="Y691" i="2"/>
  <c r="W691" i="2"/>
  <c r="V691" i="2"/>
  <c r="Z690" i="2"/>
  <c r="Y690" i="2"/>
  <c r="W690" i="2"/>
  <c r="V690" i="2"/>
  <c r="Z689" i="2"/>
  <c r="Y689" i="2"/>
  <c r="W689" i="2"/>
  <c r="V689" i="2"/>
  <c r="Z687" i="2"/>
  <c r="Y687" i="2"/>
  <c r="W688" i="2"/>
  <c r="V688" i="2"/>
  <c r="Z685" i="2"/>
  <c r="Y685" i="2"/>
  <c r="V684" i="2" l="1"/>
  <c r="W684" i="2"/>
  <c r="W686" i="2"/>
  <c r="V686" i="2"/>
  <c r="Z684" i="2"/>
  <c r="Y684" i="2"/>
  <c r="W683" i="2"/>
  <c r="V683" i="2"/>
  <c r="Z682" i="2"/>
  <c r="Y682" i="2"/>
  <c r="Z456" i="2" l="1"/>
  <c r="W457" i="2"/>
  <c r="V457" i="2"/>
  <c r="Z595" i="2"/>
  <c r="Y595" i="2"/>
  <c r="Z594" i="2"/>
  <c r="Y594" i="2"/>
  <c r="V594" i="2"/>
  <c r="W594" i="2"/>
  <c r="V593" i="2"/>
  <c r="W593" i="2"/>
  <c r="U10" i="2" l="1"/>
  <c r="U13" i="2"/>
  <c r="X13" i="2"/>
  <c r="X12" i="2"/>
  <c r="U12" i="2"/>
  <c r="X11" i="2"/>
  <c r="U11" i="2"/>
  <c r="X9" i="2"/>
  <c r="U9" i="2"/>
  <c r="X8" i="2"/>
  <c r="U8" i="2"/>
  <c r="X10" i="2"/>
  <c r="X7" i="2"/>
  <c r="U7" i="2"/>
  <c r="P388" i="3" l="1"/>
  <c r="X160" i="2" l="1"/>
  <c r="U160" i="2"/>
  <c r="W159" i="2"/>
  <c r="V159" i="2"/>
  <c r="W158" i="2"/>
  <c r="V158" i="2"/>
  <c r="X157" i="2"/>
  <c r="U157" i="2"/>
  <c r="X156" i="2"/>
  <c r="U156" i="2"/>
  <c r="U155" i="2"/>
  <c r="X154" i="2"/>
  <c r="U154" i="2"/>
  <c r="X155" i="2"/>
  <c r="U400" i="2" l="1"/>
  <c r="U394" i="2"/>
  <c r="W375" i="2" l="1"/>
  <c r="V375" i="2"/>
  <c r="W374" i="2"/>
  <c r="V374" i="2"/>
  <c r="U373" i="2" l="1"/>
  <c r="U372" i="2"/>
  <c r="U371" i="2"/>
  <c r="U370" i="2"/>
  <c r="U369" i="2"/>
  <c r="X352" i="2" l="1"/>
  <c r="U351" i="2"/>
  <c r="U350" i="2"/>
  <c r="X350" i="2"/>
  <c r="X368" i="2" l="1"/>
  <c r="U368" i="2"/>
  <c r="X367" i="2"/>
  <c r="U367" i="2"/>
  <c r="X366" i="2"/>
  <c r="U366" i="2"/>
  <c r="X365" i="2"/>
  <c r="U365" i="2"/>
  <c r="X364" i="2"/>
  <c r="U364" i="2"/>
  <c r="U363" i="2"/>
  <c r="X362" i="2"/>
  <c r="X361" i="2"/>
  <c r="X360" i="2"/>
  <c r="X359" i="2"/>
  <c r="U362" i="2"/>
  <c r="U361" i="2"/>
  <c r="U360" i="2"/>
  <c r="U359" i="2"/>
  <c r="X358" i="2"/>
  <c r="X357" i="2"/>
  <c r="X356" i="2"/>
  <c r="X355" i="2"/>
  <c r="X354" i="2"/>
  <c r="X353" i="2"/>
  <c r="U358" i="2"/>
  <c r="U357" i="2"/>
  <c r="U356" i="2"/>
  <c r="U355" i="2"/>
  <c r="U354" i="2"/>
  <c r="U353" i="2"/>
  <c r="X349" i="2"/>
  <c r="X348" i="2"/>
  <c r="X347" i="2"/>
  <c r="X346" i="2"/>
  <c r="X345" i="2"/>
  <c r="U349" i="2"/>
  <c r="U348" i="2"/>
  <c r="U347" i="2"/>
  <c r="U346" i="2"/>
  <c r="U345" i="2"/>
  <c r="X344" i="2"/>
  <c r="X343" i="2"/>
  <c r="X342" i="2"/>
  <c r="U344" i="2"/>
  <c r="U343" i="2"/>
  <c r="U342" i="2"/>
  <c r="X340" i="2"/>
  <c r="X339" i="2"/>
  <c r="X338" i="2"/>
  <c r="U341" i="2"/>
  <c r="U340" i="2"/>
  <c r="U339" i="2"/>
  <c r="U338" i="2"/>
  <c r="X337" i="2"/>
  <c r="X336" i="2"/>
  <c r="X335" i="2"/>
  <c r="X334" i="2"/>
  <c r="X333" i="2"/>
  <c r="U337" i="2"/>
  <c r="U336" i="2"/>
  <c r="U335" i="2"/>
  <c r="U334" i="2"/>
  <c r="U333" i="2"/>
  <c r="Z265" i="2" l="1"/>
  <c r="Y265" i="2"/>
  <c r="W265" i="2"/>
  <c r="V265" i="2"/>
  <c r="Z264" i="2"/>
  <c r="Y264" i="2"/>
  <c r="W264" i="2"/>
  <c r="V264" i="2"/>
  <c r="Z262" i="2"/>
  <c r="Y262" i="2"/>
  <c r="W262" i="2"/>
  <c r="V262" i="2"/>
  <c r="Z256" i="2"/>
  <c r="Y256" i="2"/>
  <c r="W256" i="2"/>
  <c r="V256" i="2"/>
  <c r="W259" i="2"/>
  <c r="V259" i="2"/>
  <c r="Z255" i="2"/>
  <c r="Y255" i="2"/>
  <c r="W255" i="2"/>
  <c r="V255" i="2"/>
  <c r="W258" i="2"/>
  <c r="V258" i="2"/>
  <c r="W257" i="2"/>
  <c r="V257" i="2"/>
  <c r="Z249" i="2"/>
  <c r="Y249" i="2"/>
  <c r="W251" i="2"/>
  <c r="V251" i="2"/>
  <c r="W250" i="2"/>
  <c r="V250" i="2"/>
  <c r="W248" i="2"/>
  <c r="V248" i="2"/>
  <c r="Z248" i="2"/>
  <c r="Y248" i="2"/>
  <c r="Z247" i="2"/>
  <c r="Y247" i="2"/>
  <c r="W247" i="2"/>
  <c r="V247" i="2"/>
  <c r="AD661" i="1" l="1"/>
  <c r="AE661" i="1"/>
  <c r="U231" i="2" l="1"/>
  <c r="U229" i="2" l="1"/>
  <c r="U223" i="2" l="1"/>
  <c r="U169" i="2" l="1"/>
  <c r="X818" i="2"/>
  <c r="U818" i="2"/>
  <c r="X817" i="2"/>
  <c r="U817" i="2"/>
  <c r="W815" i="2"/>
  <c r="V815" i="2"/>
  <c r="W814" i="2"/>
  <c r="V814" i="2"/>
  <c r="W813" i="2"/>
  <c r="V813" i="2"/>
  <c r="X132" i="2" l="1"/>
  <c r="X131" i="2"/>
  <c r="U132" i="2"/>
  <c r="U131" i="2"/>
  <c r="X110" i="2"/>
  <c r="X109" i="2"/>
  <c r="X108" i="2"/>
  <c r="X107" i="2"/>
  <c r="U110" i="2"/>
  <c r="U109" i="2"/>
  <c r="U108" i="2"/>
  <c r="U107" i="2"/>
  <c r="X106" i="2"/>
  <c r="U106" i="2"/>
  <c r="X105" i="2"/>
  <c r="U105" i="2"/>
  <c r="X104" i="2"/>
  <c r="U104" i="2"/>
  <c r="X103" i="2"/>
  <c r="U103" i="2"/>
  <c r="X102" i="2"/>
  <c r="U102" i="2"/>
  <c r="U809" i="2" l="1"/>
  <c r="X809" i="2"/>
  <c r="X93" i="2" l="1"/>
  <c r="U93" i="2"/>
  <c r="X94" i="2"/>
  <c r="U94" i="2"/>
  <c r="X92" i="2"/>
  <c r="U92" i="2"/>
  <c r="X101" i="2"/>
  <c r="U101" i="2"/>
  <c r="X100" i="2"/>
  <c r="U100" i="2"/>
  <c r="X99" i="2"/>
  <c r="U99" i="2"/>
  <c r="X98" i="2"/>
  <c r="U98" i="2"/>
  <c r="X97" i="2"/>
  <c r="U97" i="2"/>
  <c r="X91" i="2" l="1"/>
  <c r="U91" i="2"/>
  <c r="X90" i="2"/>
  <c r="U90" i="2"/>
  <c r="X89" i="2"/>
  <c r="U89" i="2"/>
  <c r="X88" i="2" l="1"/>
  <c r="X87" i="2"/>
  <c r="U88" i="2"/>
  <c r="U87" i="2"/>
  <c r="X130" i="2" l="1"/>
  <c r="U130" i="2"/>
  <c r="X129" i="2"/>
  <c r="U129" i="2"/>
  <c r="X128" i="2"/>
  <c r="U128" i="2"/>
  <c r="X127" i="2"/>
  <c r="U127" i="2"/>
  <c r="X126" i="2"/>
  <c r="U126" i="2"/>
  <c r="W153" i="2"/>
  <c r="V153" i="2"/>
  <c r="X152" i="2"/>
  <c r="U152" i="2"/>
  <c r="X151" i="2"/>
  <c r="U151" i="2"/>
  <c r="AE718" i="1" l="1"/>
  <c r="AD718" i="1"/>
  <c r="AE715" i="1"/>
  <c r="AD715" i="1"/>
  <c r="AH815" i="1"/>
  <c r="AG815" i="1"/>
  <c r="AH810" i="1"/>
  <c r="AG810" i="1"/>
  <c r="AE816" i="1"/>
  <c r="AD816" i="1"/>
  <c r="AE811" i="1"/>
  <c r="AD811" i="1"/>
  <c r="AE810" i="1"/>
  <c r="AD810" i="1"/>
  <c r="AE802" i="1"/>
  <c r="AD802" i="1"/>
  <c r="X62" i="2" l="1"/>
  <c r="AE186" i="1" l="1"/>
  <c r="AD186" i="1"/>
  <c r="AE185" i="1"/>
  <c r="AD185" i="1"/>
  <c r="AE184" i="1"/>
  <c r="AD184" i="1"/>
  <c r="AE183" i="1"/>
  <c r="AD183" i="1"/>
  <c r="AE182" i="1"/>
  <c r="AD182" i="1"/>
  <c r="AE181" i="1"/>
  <c r="AD181" i="1"/>
  <c r="AE180" i="1"/>
  <c r="AD180" i="1"/>
  <c r="AE179" i="1"/>
  <c r="AD179" i="1"/>
  <c r="AE178" i="1"/>
  <c r="AD178" i="1"/>
  <c r="AE177" i="1"/>
  <c r="AD177" i="1"/>
  <c r="AE176" i="1"/>
  <c r="AD176" i="1"/>
  <c r="AD175" i="1"/>
  <c r="AE174" i="1"/>
  <c r="AD174" i="1"/>
  <c r="AE188" i="1"/>
  <c r="AD188" i="1"/>
  <c r="AE173" i="1"/>
  <c r="AD173" i="1"/>
  <c r="AE172" i="1"/>
  <c r="AD172" i="1"/>
  <c r="AE171" i="1"/>
  <c r="AD171" i="1"/>
  <c r="AE170" i="1"/>
  <c r="AD170" i="1"/>
  <c r="AE169" i="1"/>
  <c r="AD169" i="1"/>
  <c r="AE168" i="1"/>
  <c r="AD168" i="1"/>
  <c r="AE167" i="1"/>
  <c r="AD167" i="1"/>
  <c r="AE187" i="1"/>
  <c r="AD187" i="1"/>
  <c r="AE189" i="1"/>
  <c r="AD189" i="1"/>
  <c r="AE166" i="1"/>
  <c r="AD166" i="1"/>
  <c r="AE165" i="1"/>
  <c r="AD165" i="1"/>
  <c r="AE164" i="1"/>
  <c r="AD164" i="1"/>
  <c r="AE163" i="1"/>
  <c r="AD163" i="1"/>
  <c r="AE162" i="1"/>
  <c r="AD162" i="1"/>
  <c r="AE161" i="1"/>
  <c r="AD161" i="1"/>
  <c r="AE160" i="1"/>
  <c r="AD160" i="1"/>
  <c r="AE159" i="1"/>
  <c r="AD159" i="1"/>
  <c r="AE158" i="1"/>
  <c r="AD158" i="1"/>
  <c r="AE157" i="1"/>
  <c r="AD157" i="1"/>
  <c r="AE156" i="1"/>
  <c r="AD156" i="1"/>
  <c r="AE155" i="1"/>
  <c r="AD155" i="1"/>
  <c r="AE154" i="1"/>
  <c r="AD154" i="1"/>
  <c r="AE153" i="1"/>
  <c r="AD153" i="1"/>
  <c r="AE152" i="1"/>
  <c r="AD152" i="1"/>
  <c r="AE151" i="1"/>
  <c r="AD151" i="1"/>
  <c r="AE150" i="1"/>
  <c r="AD150" i="1"/>
  <c r="AE149" i="1"/>
  <c r="AD149" i="1"/>
  <c r="AE148" i="1"/>
  <c r="AD148" i="1"/>
  <c r="AE147" i="1"/>
  <c r="AD147" i="1"/>
  <c r="AE146" i="1"/>
  <c r="AD146" i="1"/>
  <c r="AE145" i="1"/>
  <c r="AD145" i="1"/>
  <c r="AE144" i="1"/>
  <c r="AD144" i="1"/>
  <c r="AE143" i="1"/>
  <c r="AD143" i="1"/>
  <c r="AE504" i="1" l="1"/>
  <c r="AD504" i="1"/>
  <c r="AE503" i="1"/>
  <c r="AD503" i="1"/>
  <c r="AE529" i="1"/>
  <c r="AD529" i="1"/>
  <c r="AE530" i="1"/>
  <c r="AD530" i="1"/>
  <c r="AD550" i="1"/>
  <c r="AC548" i="1"/>
  <c r="AC547" i="1"/>
  <c r="AC502" i="1"/>
  <c r="AC501" i="1"/>
  <c r="AC500" i="1"/>
  <c r="AC495" i="1"/>
  <c r="AC476" i="1"/>
  <c r="AE550" i="1"/>
  <c r="AE546" i="1"/>
  <c r="AD546" i="1"/>
  <c r="AE545" i="1"/>
  <c r="AD545" i="1"/>
  <c r="AE540" i="1"/>
  <c r="AD540" i="1"/>
  <c r="AE539" i="1"/>
  <c r="AD539" i="1"/>
  <c r="AE538" i="1"/>
  <c r="AD538" i="1"/>
  <c r="AE537" i="1"/>
  <c r="AD537" i="1"/>
  <c r="AE536" i="1"/>
  <c r="AD536" i="1"/>
  <c r="AE535" i="1"/>
  <c r="AD535" i="1"/>
  <c r="AE534" i="1"/>
  <c r="AD534" i="1"/>
  <c r="AE533" i="1"/>
  <c r="AD533" i="1"/>
  <c r="AE532" i="1"/>
  <c r="AD532" i="1"/>
  <c r="AE531" i="1"/>
  <c r="AD531" i="1"/>
  <c r="AE499" i="1"/>
  <c r="AD499" i="1"/>
  <c r="AE498" i="1"/>
  <c r="AD498" i="1"/>
  <c r="AE497" i="1"/>
  <c r="AD497" i="1"/>
  <c r="AE494" i="1"/>
  <c r="AD494" i="1"/>
  <c r="AE493" i="1"/>
  <c r="AD493" i="1"/>
  <c r="AE492" i="1"/>
  <c r="AD492" i="1"/>
  <c r="AE491" i="1"/>
  <c r="AD491" i="1"/>
  <c r="AE490" i="1"/>
  <c r="AD490" i="1"/>
  <c r="AE489" i="1"/>
  <c r="AD489" i="1"/>
  <c r="AE488" i="1"/>
  <c r="AD488" i="1"/>
  <c r="AE487" i="1"/>
  <c r="AD487" i="1"/>
  <c r="AE486" i="1"/>
  <c r="AD486" i="1"/>
  <c r="AE485" i="1"/>
  <c r="AD485" i="1"/>
  <c r="AE484" i="1"/>
  <c r="AD484" i="1"/>
  <c r="AE483" i="1"/>
  <c r="AD483" i="1"/>
  <c r="AE549" i="1"/>
  <c r="AD549" i="1"/>
  <c r="AE544" i="1"/>
  <c r="AD544" i="1"/>
  <c r="AE496" i="1"/>
  <c r="AD496" i="1"/>
  <c r="AE482" i="1"/>
  <c r="AD482" i="1"/>
  <c r="AE481" i="1"/>
  <c r="AD481" i="1"/>
  <c r="AE480" i="1"/>
  <c r="AD480" i="1"/>
  <c r="AE479" i="1"/>
  <c r="AD479" i="1"/>
  <c r="AE478" i="1"/>
  <c r="AD478" i="1"/>
  <c r="AE477" i="1"/>
  <c r="AD477" i="1"/>
  <c r="AE475" i="1"/>
  <c r="AD475" i="1"/>
  <c r="AE474" i="1"/>
  <c r="AD474" i="1"/>
  <c r="AE473" i="1"/>
  <c r="AD473" i="1"/>
  <c r="AE472" i="1"/>
  <c r="AD472" i="1"/>
  <c r="AE471" i="1"/>
  <c r="AD471" i="1"/>
  <c r="AE470" i="1"/>
  <c r="AD470" i="1"/>
  <c r="AE469" i="1"/>
  <c r="AD469" i="1"/>
  <c r="AE468" i="1"/>
  <c r="AD468" i="1"/>
  <c r="AE467" i="1"/>
  <c r="AD467" i="1"/>
  <c r="AE466" i="1"/>
  <c r="AD466" i="1"/>
  <c r="AE465" i="1"/>
  <c r="AD465" i="1"/>
  <c r="AE464" i="1"/>
  <c r="AD464" i="1"/>
  <c r="AE463" i="1"/>
  <c r="AD463" i="1"/>
  <c r="AE462" i="1"/>
  <c r="AD462" i="1"/>
  <c r="AE461" i="1"/>
  <c r="AD461" i="1"/>
  <c r="AE460" i="1"/>
  <c r="AD460" i="1"/>
  <c r="AE459" i="1"/>
  <c r="AD459" i="1"/>
  <c r="AE430" i="1"/>
  <c r="AD430" i="1"/>
  <c r="AE427" i="1"/>
  <c r="AD427" i="1"/>
  <c r="AE422" i="1"/>
  <c r="AD422" i="1"/>
  <c r="AE421" i="1"/>
  <c r="AD421" i="1"/>
  <c r="AE420" i="1"/>
  <c r="AD420" i="1"/>
  <c r="AD423" i="1"/>
  <c r="AE423" i="1"/>
  <c r="AE419" i="1"/>
  <c r="AD419" i="1"/>
  <c r="AE418" i="1"/>
  <c r="AD418" i="1"/>
  <c r="AE417" i="1"/>
  <c r="AD417" i="1"/>
  <c r="AE416" i="1"/>
  <c r="AD416" i="1"/>
  <c r="AE458" i="1"/>
  <c r="AD458" i="1"/>
  <c r="AE457" i="1"/>
  <c r="AD457" i="1"/>
  <c r="AE456" i="1"/>
  <c r="AD456" i="1"/>
  <c r="AE455" i="1"/>
  <c r="AD455" i="1"/>
  <c r="AE454" i="1"/>
  <c r="AD454" i="1"/>
  <c r="AE453" i="1"/>
  <c r="AD453" i="1"/>
  <c r="AE452" i="1"/>
  <c r="AD452" i="1"/>
  <c r="AE451" i="1"/>
  <c r="AD451" i="1"/>
  <c r="AE450" i="1"/>
  <c r="AD450" i="1"/>
  <c r="AE449" i="1"/>
  <c r="AD449" i="1"/>
  <c r="AE448" i="1"/>
  <c r="AD448" i="1"/>
  <c r="AE447" i="1"/>
  <c r="AD447" i="1"/>
  <c r="AE446" i="1"/>
  <c r="AD446" i="1"/>
  <c r="AE445" i="1"/>
  <c r="AD445" i="1"/>
  <c r="AE444" i="1"/>
  <c r="AD444" i="1"/>
  <c r="AE443" i="1"/>
  <c r="AD443" i="1"/>
  <c r="AE442" i="1"/>
  <c r="AD442" i="1"/>
  <c r="AE441" i="1"/>
  <c r="AD441" i="1"/>
  <c r="AE440" i="1"/>
  <c r="AD440" i="1"/>
  <c r="AE439" i="1"/>
  <c r="AD439" i="1"/>
  <c r="AE438" i="1"/>
  <c r="AD438" i="1"/>
  <c r="AE437" i="1"/>
  <c r="AD437" i="1"/>
  <c r="AE436" i="1"/>
  <c r="AD436" i="1"/>
  <c r="AE435" i="1"/>
  <c r="AD435" i="1"/>
  <c r="AE434" i="1"/>
  <c r="AD434" i="1"/>
  <c r="AE433" i="1"/>
  <c r="AD433" i="1"/>
  <c r="AE432" i="1"/>
  <c r="AD432" i="1"/>
  <c r="AE431" i="1"/>
  <c r="AD431" i="1"/>
  <c r="AE429" i="1"/>
  <c r="AD429" i="1"/>
  <c r="AE428" i="1"/>
  <c r="AD428" i="1"/>
  <c r="AE426" i="1"/>
  <c r="AD426" i="1"/>
  <c r="AE425" i="1"/>
  <c r="AD425" i="1"/>
  <c r="AE424" i="1"/>
  <c r="AD424" i="1"/>
  <c r="AE415" i="1"/>
  <c r="AD415" i="1"/>
  <c r="AE414" i="1"/>
  <c r="AD414" i="1"/>
  <c r="AC528" i="1" l="1"/>
  <c r="AC527" i="1"/>
  <c r="AC524" i="1"/>
  <c r="AC523" i="1"/>
  <c r="AC522" i="1"/>
  <c r="AC521" i="1"/>
  <c r="AC411" i="1"/>
  <c r="AC410" i="1"/>
  <c r="AE526" i="1"/>
  <c r="AD526" i="1"/>
  <c r="AE525" i="1"/>
  <c r="AD525" i="1"/>
  <c r="AE520" i="1"/>
  <c r="AD520" i="1"/>
  <c r="AE519" i="1"/>
  <c r="AD519" i="1"/>
  <c r="AE518" i="1"/>
  <c r="AD518" i="1"/>
  <c r="AE517" i="1"/>
  <c r="AD517" i="1"/>
  <c r="AE409" i="1"/>
  <c r="AD409" i="1"/>
  <c r="AE408" i="1"/>
  <c r="AD408" i="1"/>
  <c r="AC514" i="1"/>
  <c r="AC511" i="1"/>
  <c r="AC510" i="1"/>
  <c r="AC405" i="1"/>
  <c r="AC404" i="1"/>
  <c r="AE516" i="1"/>
  <c r="AD516" i="1"/>
  <c r="AE515" i="1"/>
  <c r="AD515" i="1"/>
  <c r="AE413" i="1"/>
  <c r="AD413" i="1"/>
  <c r="AE412" i="1"/>
  <c r="AD412" i="1"/>
  <c r="AE407" i="1"/>
  <c r="AD407" i="1"/>
  <c r="AE406" i="1"/>
  <c r="AD406" i="1"/>
  <c r="AE402" i="1"/>
  <c r="AD402" i="1"/>
  <c r="AE401" i="1"/>
  <c r="AD401" i="1"/>
  <c r="Z652" i="2" l="1"/>
  <c r="Y652" i="2"/>
  <c r="Z650" i="2"/>
  <c r="Y650" i="2"/>
  <c r="W652" i="2"/>
  <c r="V652" i="2"/>
  <c r="V650" i="2"/>
  <c r="W650" i="2"/>
  <c r="Y651" i="2"/>
  <c r="Y649" i="2"/>
  <c r="W651" i="2"/>
  <c r="W649" i="2"/>
  <c r="U62" i="2"/>
  <c r="AE138" i="1" l="1"/>
  <c r="AD138" i="1"/>
  <c r="AE140" i="1" l="1"/>
  <c r="AD140" i="1"/>
  <c r="AE299" i="1" l="1"/>
  <c r="AD299" i="1"/>
  <c r="AE298" i="1"/>
  <c r="AD298" i="1"/>
  <c r="AC214" i="1" l="1"/>
  <c r="AE97" i="1" l="1"/>
  <c r="AD97" i="1"/>
  <c r="AE96" i="1"/>
  <c r="AD96" i="1"/>
  <c r="AE94" i="1"/>
  <c r="AD94" i="1"/>
  <c r="AE93" i="1"/>
  <c r="AD93" i="1"/>
  <c r="AE665" i="1"/>
  <c r="AD665" i="1"/>
  <c r="AE664" i="1"/>
  <c r="AD664" i="1"/>
  <c r="AE663" i="1"/>
  <c r="AD663" i="1"/>
  <c r="AE662" i="1"/>
  <c r="AD662" i="1"/>
  <c r="AD556" i="1" l="1"/>
  <c r="AE556" i="1"/>
</calcChain>
</file>

<file path=xl/sharedStrings.xml><?xml version="1.0" encoding="utf-8"?>
<sst xmlns="http://schemas.openxmlformats.org/spreadsheetml/2006/main" count="36517" uniqueCount="10165">
  <si>
    <t>Site Name</t>
  </si>
  <si>
    <t>Easting (NZTM)</t>
  </si>
  <si>
    <t>Northing (NZTM)</t>
  </si>
  <si>
    <t>Reported SR (mm/yr)</t>
  </si>
  <si>
    <t>Vernon</t>
  </si>
  <si>
    <t>RL</t>
  </si>
  <si>
    <t>RL 
DS</t>
  </si>
  <si>
    <r>
      <t xml:space="preserve">&lt;1 </t>
    </r>
    <r>
      <rPr>
        <sz val="10"/>
        <color theme="1"/>
        <rFont val="Calibri"/>
        <family val="2"/>
      </rPr>
      <t>± 0.3</t>
    </r>
    <r>
      <rPr>
        <sz val="10"/>
        <color theme="1"/>
        <rFont val="Calibri"/>
        <family val="2"/>
        <scheme val="minor"/>
      </rPr>
      <t xml:space="preserve"> 
&lt;0.02 </t>
    </r>
    <r>
      <rPr>
        <sz val="10"/>
        <color theme="1"/>
        <rFont val="Calibri"/>
        <family val="2"/>
      </rPr>
      <t>± 0.01</t>
    </r>
  </si>
  <si>
    <t>QR2 Dating
(A-D)</t>
  </si>
  <si>
    <t>QR3 Overall
(A-D)</t>
  </si>
  <si>
    <t>A</t>
  </si>
  <si>
    <r>
      <t xml:space="preserve">&gt;21 </t>
    </r>
    <r>
      <rPr>
        <sz val="10"/>
        <color theme="1"/>
        <rFont val="Calibri"/>
        <family val="2"/>
      </rPr>
      <t>± 3</t>
    </r>
  </si>
  <si>
    <t>correlation</t>
  </si>
  <si>
    <t>11-130</t>
  </si>
  <si>
    <t>Bartholomew et al. (2014)</t>
  </si>
  <si>
    <r>
      <t xml:space="preserve">&lt;0.52 </t>
    </r>
    <r>
      <rPr>
        <sz val="10"/>
        <color theme="1"/>
        <rFont val="Calibri"/>
        <family val="2"/>
      </rPr>
      <t>± 0.1</t>
    </r>
    <r>
      <rPr>
        <sz val="10"/>
        <color theme="1"/>
        <rFont val="Calibri"/>
        <family val="2"/>
        <scheme val="minor"/>
      </rPr>
      <t xml:space="preserve"> 
&lt;0.05 </t>
    </r>
    <r>
      <rPr>
        <sz val="10"/>
        <color theme="1"/>
        <rFont val="Calibri"/>
        <family val="2"/>
      </rPr>
      <t>± 0.02</t>
    </r>
  </si>
  <si>
    <t>B</t>
  </si>
  <si>
    <t>RL
DS</t>
  </si>
  <si>
    <r>
      <t xml:space="preserve">22 </t>
    </r>
    <r>
      <rPr>
        <sz val="10"/>
        <color theme="1"/>
        <rFont val="Calibri"/>
        <family val="2"/>
      </rPr>
      <t>± 2
0.5 ± 0.2</t>
    </r>
  </si>
  <si>
    <r>
      <t xml:space="preserve">10.9 </t>
    </r>
    <r>
      <rPr>
        <sz val="10"/>
        <color theme="1"/>
        <rFont val="Calibri"/>
        <family val="2"/>
      </rPr>
      <t>± 1.3
1 ± 0.3</t>
    </r>
  </si>
  <si>
    <r>
      <t xml:space="preserve">&gt;1.5 </t>
    </r>
    <r>
      <rPr>
        <sz val="10"/>
        <color theme="1"/>
        <rFont val="Calibri"/>
        <family val="2"/>
      </rPr>
      <t>± 0.7</t>
    </r>
    <r>
      <rPr>
        <sz val="10"/>
        <color theme="1"/>
        <rFont val="Calibri"/>
        <family val="2"/>
        <scheme val="minor"/>
      </rPr>
      <t xml:space="preserve">
&gt;0.03 </t>
    </r>
    <r>
      <rPr>
        <sz val="10"/>
        <color theme="1"/>
        <rFont val="Calibri"/>
        <family val="2"/>
      </rPr>
      <t xml:space="preserve">± </t>
    </r>
    <r>
      <rPr>
        <sz val="10"/>
        <color theme="1"/>
        <rFont val="Calibri"/>
        <family val="2"/>
        <scheme val="minor"/>
      </rPr>
      <t>0.01</t>
    </r>
  </si>
  <si>
    <r>
      <t xml:space="preserve">180 </t>
    </r>
    <r>
      <rPr>
        <sz val="10"/>
        <color theme="1"/>
        <rFont val="Calibri"/>
        <family val="2"/>
      </rPr>
      <t>± 35
&gt;4 ± 1</t>
    </r>
  </si>
  <si>
    <t>&lt;119 ± 21</t>
  </si>
  <si>
    <t>OSL</t>
  </si>
  <si>
    <t>Channel</t>
  </si>
  <si>
    <t>Ridge flank / alluvial fan</t>
  </si>
  <si>
    <t>Wind gap</t>
  </si>
  <si>
    <t>43; Homestead Stream</t>
  </si>
  <si>
    <r>
      <rPr>
        <sz val="10"/>
        <color theme="1"/>
        <rFont val="Calibri"/>
        <family val="2"/>
      </rPr>
      <t>≤</t>
    </r>
    <r>
      <rPr>
        <sz val="10"/>
        <color theme="1"/>
        <rFont val="Calibri"/>
        <family val="2"/>
        <scheme val="minor"/>
      </rPr>
      <t>122</t>
    </r>
    <r>
      <rPr>
        <sz val="10"/>
        <color theme="1"/>
        <rFont val="Calibri"/>
        <family val="2"/>
      </rPr>
      <t xml:space="preserve">
&gt;1.2</t>
    </r>
  </si>
  <si>
    <r>
      <t xml:space="preserve">&gt;30 </t>
    </r>
    <r>
      <rPr>
        <sz val="10"/>
        <color theme="1"/>
        <rFont val="Calibri"/>
        <family val="2"/>
      </rPr>
      <t>± 5</t>
    </r>
  </si>
  <si>
    <t>Reported SED (m)</t>
  </si>
  <si>
    <t>&lt;4.9
&gt;0.04</t>
  </si>
  <si>
    <t>35; Flaxey splay</t>
  </si>
  <si>
    <t>`</t>
  </si>
  <si>
    <t>channel</t>
  </si>
  <si>
    <t>3.3 ± 2.6</t>
  </si>
  <si>
    <t>Measured from  RTK survey data. One of many offsets measured. Assumed to be SED and used as part of a RI calculation, rather than specific analysis to determine SED.</t>
  </si>
  <si>
    <t>Nicola Litchfield</t>
  </si>
  <si>
    <t>Last QA'd</t>
  </si>
  <si>
    <t>Reported RI (years)</t>
  </si>
  <si>
    <t>Balfour Trench</t>
  </si>
  <si>
    <t>ND</t>
  </si>
  <si>
    <t>Bartholomew et al. (2014); Clark et al. (2011)</t>
  </si>
  <si>
    <t>Bartholomew, T.D.; Little, T.A.; Clark, K.J.; Van Dissen, R.J.; Barnes, P.M. 2014 Kinematics and paleoseismology of the Vernon Fault, Marlborough Fault System, New Zealand : implications for contractional fault bend deformation, earthquake triggering, and the record of Hikurangi subduction earthquakes. Tectonics, 33(7): 1201-1218; doi: 10.1002/2014TC003543</t>
  </si>
  <si>
    <t>3700 ± 600</t>
  </si>
  <si>
    <t>Comments</t>
  </si>
  <si>
    <t>Earthquakes</t>
  </si>
  <si>
    <t>EQ1 (LE)</t>
  </si>
  <si>
    <t>Fault</t>
  </si>
  <si>
    <t>Site Data</t>
  </si>
  <si>
    <t>Wellington</t>
  </si>
  <si>
    <t>Vernon 1</t>
  </si>
  <si>
    <t>Reverse</t>
  </si>
  <si>
    <t>Dextral</t>
  </si>
  <si>
    <t>Vernon 2</t>
  </si>
  <si>
    <t>Bib ID</t>
  </si>
  <si>
    <t>Reference</t>
  </si>
  <si>
    <t>Normal</t>
  </si>
  <si>
    <t>Terrace riser</t>
  </si>
  <si>
    <t>93.2 ± 19.6</t>
  </si>
  <si>
    <t>6.3 +1.9/-1.2
0.09-0.14</t>
  </si>
  <si>
    <t>RL
V</t>
  </si>
  <si>
    <t>586 (571-601)
10.3 ± 0.03</t>
  </si>
  <si>
    <t>Ninis et al. (2013)</t>
  </si>
  <si>
    <t>~10-8</t>
  </si>
  <si>
    <t>~32</t>
  </si>
  <si>
    <t>1-11</t>
  </si>
  <si>
    <t xml:space="preserve">Ages and offset from Ninis et al. (2013) using a photogrammetry model from 1940s aerial photos. Slip rate calculated here. No uncertainties given and no net SR calculated. </t>
  </si>
  <si>
    <t>2.8 ± 0.6</t>
  </si>
  <si>
    <t>25 (22-28)</t>
  </si>
  <si>
    <t>9 ± 1.3</t>
  </si>
  <si>
    <t>RI
 (years)</t>
  </si>
  <si>
    <t>CFM
Sense
Dominant</t>
  </si>
  <si>
    <t>CFM
Sense
Secondary</t>
  </si>
  <si>
    <t>CFM
Net SR
 (mm/yr)</t>
  </si>
  <si>
    <t>5.5 ± 0.75</t>
  </si>
  <si>
    <t>Channels, fluvial terrace risers</t>
  </si>
  <si>
    <t>Measured from RTK survey data. Mean calculated from 13 measurements (1 at Harcourt Park) that span four earthquakes.</t>
  </si>
  <si>
    <t>Little et al. (2010)</t>
  </si>
  <si>
    <t>Little et al. (2010)
Rhoades et al. (2011)</t>
  </si>
  <si>
    <t>Te Marua terraces</t>
  </si>
  <si>
    <t>≥4.5 ± 0.4</t>
  </si>
  <si>
    <t>20.1 ± 0.47</t>
  </si>
  <si>
    <t>Terrace riser and channels</t>
  </si>
  <si>
    <r>
      <rPr>
        <sz val="10"/>
        <color theme="1"/>
        <rFont val="Calibri"/>
        <family val="2"/>
      </rPr>
      <t>≤</t>
    </r>
    <r>
      <rPr>
        <sz val="10"/>
        <color theme="1"/>
        <rFont val="Calibri"/>
        <family val="2"/>
        <scheme val="minor"/>
      </rPr>
      <t>4.5 ± 0.4</t>
    </r>
  </si>
  <si>
    <t>C</t>
  </si>
  <si>
    <t>Alpine</t>
  </si>
  <si>
    <t>3700 ± 1200</t>
  </si>
  <si>
    <t>QR RI
(A-C)</t>
  </si>
  <si>
    <t>Hokuri Creek sections</t>
  </si>
  <si>
    <t>Site DB ID</t>
  </si>
  <si>
    <t>EQ2 (PE)</t>
  </si>
  <si>
    <t>EQ3 (APE)</t>
  </si>
  <si>
    <t>Old
(cal. yr BP)
Pref.</t>
  </si>
  <si>
    <t>Old
(cal. yr BP)
Min.</t>
  </si>
  <si>
    <t>Old
(cal. yr BP)
Max.</t>
  </si>
  <si>
    <t>Young 
(cal. yr BP)
Pref.</t>
  </si>
  <si>
    <t>Young 
(cal. yr BP)
Min.</t>
  </si>
  <si>
    <t>Young 
(cal. yr BP)
Max.</t>
  </si>
  <si>
    <t>EQ4</t>
  </si>
  <si>
    <t>EQ5</t>
  </si>
  <si>
    <t>EQ6</t>
  </si>
  <si>
    <t>EQ7</t>
  </si>
  <si>
    <t>EQ8</t>
  </si>
  <si>
    <t>EQ9</t>
  </si>
  <si>
    <t>EQ10</t>
  </si>
  <si>
    <t>EQ11</t>
  </si>
  <si>
    <t>EQ12</t>
  </si>
  <si>
    <t>EQ13</t>
  </si>
  <si>
    <t>EQ14</t>
  </si>
  <si>
    <t>EQ15</t>
  </si>
  <si>
    <t>EQ16</t>
  </si>
  <si>
    <t>EQ17</t>
  </si>
  <si>
    <t>EQ18</t>
  </si>
  <si>
    <t>EQ19</t>
  </si>
  <si>
    <t>EQ20</t>
  </si>
  <si>
    <t>EQ21</t>
  </si>
  <si>
    <t>EQ22</t>
  </si>
  <si>
    <t>EQ23</t>
  </si>
  <si>
    <t>EQ24</t>
  </si>
  <si>
    <t>&gt;11 ± 1.8 ka</t>
  </si>
  <si>
    <t>11 ± 1.8 – 9 ± 0.6 ka</t>
  </si>
  <si>
    <t>9 ± 0.6 ka – 721-559 cal. yr BP</t>
  </si>
  <si>
    <t>QR3 
Overall
(1-3)</t>
  </si>
  <si>
    <t>From an OxCal model using SHCal04.</t>
  </si>
  <si>
    <t>329 ± 68</t>
  </si>
  <si>
    <t>John O'Groats wetland</t>
  </si>
  <si>
    <t>1705-1775 AD</t>
  </si>
  <si>
    <t>1334-1394 AD</t>
  </si>
  <si>
    <t>1103-1205 AD</t>
  </si>
  <si>
    <t>791-937 AD</t>
  </si>
  <si>
    <t>655-755 AD</t>
  </si>
  <si>
    <t>396-626 AD</t>
  </si>
  <si>
    <t>223-319 AD</t>
  </si>
  <si>
    <t>From an OxCal model using SHCal13.</t>
  </si>
  <si>
    <t>From an OxCal model using SHCal13. Authors give a low confidence level that the event horizon represents an earthquake.</t>
  </si>
  <si>
    <t>Cochran et al. (2017)</t>
  </si>
  <si>
    <t>291 ± 23</t>
  </si>
  <si>
    <t>250 ± 36</t>
  </si>
  <si>
    <t>3 earthquakes in the last 11,000 years</t>
  </si>
  <si>
    <t>Combined value from Hokuri Creek and John O'Groats Wetland records</t>
  </si>
  <si>
    <t>Combined value from onshore and offshore data</t>
  </si>
  <si>
    <t>7.5 ± 1
1 ± 0.5</t>
  </si>
  <si>
    <t>Hokuri Creek</t>
  </si>
  <si>
    <t>Abandoned channel and terrace risers</t>
  </si>
  <si>
    <t>Measured from total station survey.</t>
  </si>
  <si>
    <t>Clark et al. (2013)</t>
  </si>
  <si>
    <t>Emerald Hill; EHT5-T6</t>
  </si>
  <si>
    <t>Emerald Hill;
EHT2-T3</t>
  </si>
  <si>
    <t>Emerald Hill; 
EHT2-T3-T4</t>
  </si>
  <si>
    <t>Unchanged from 2014 AFM</t>
  </si>
  <si>
    <t>4.5 (2.5-5)</t>
  </si>
  <si>
    <t>80 ± 10</t>
  </si>
  <si>
    <r>
      <t>CFM
Dip
(</t>
    </r>
    <r>
      <rPr>
        <b/>
        <sz val="10"/>
        <color theme="1"/>
        <rFont val="Calibri"/>
        <family val="2"/>
      </rPr>
      <t>°</t>
    </r>
    <r>
      <rPr>
        <b/>
        <sz val="10"/>
        <color theme="1"/>
        <rFont val="Calibri"/>
        <family val="2"/>
        <scheme val="minor"/>
      </rPr>
      <t>)</t>
    </r>
  </si>
  <si>
    <t>CFM
Rake
(°)</t>
  </si>
  <si>
    <t>65 ± 10</t>
  </si>
  <si>
    <t>Reported value of Bartholemew et al. (2014)</t>
  </si>
  <si>
    <t>SED
 Net
(m)</t>
  </si>
  <si>
    <t>7.6 (6.5-8.6)</t>
  </si>
  <si>
    <t>&lt;4.9</t>
  </si>
  <si>
    <t>Bartholomew et al. (2014) only report SR in components so Net SR calculated using CFM dip. Assumed dip slip rate is vertical slip rate as not defined and no dip mentioned. Measurements from an RTK map of an offset alluvial fan.  Age from correlation with another site.</t>
  </si>
  <si>
    <t>Bartholomew et al. (2014) only report SR in components so Net SR calculated using CFM dip. Assumed dip slip rate is vertical slip rate as not defined and no dip mentioned. Measurements  from an RTK map of an offset alluvial fan.  Age from correlation with another site.</t>
  </si>
  <si>
    <t>Bartholomew et al. (2014) only report SR in components so Net SR calculated using CFM dip. Assumed dip slip rate is vertical slip rate as not defined and no dip mentioned. Measurements  from an RTK map of an wind gap.  Age from OSL age and correlation to Upton 1 terrace elsewhere. Flaxey splay, so doesn't represent whole fault SR.</t>
  </si>
  <si>
    <t>Bartholomew et al. (2014) only report SR in components so Net SR calculated using CFM dip. Assumed dip slip rate is vertical slip rate as not defined and no dip mentioned. Measurements  from an RTK map of an offset alluvial fan.  Age from OSL age and correlation to Downs 2 terrace elsewhere.</t>
  </si>
  <si>
    <t>OSL age uncertainties 2 sigma</t>
  </si>
  <si>
    <t>OSL age uncertainties 1 sigma</t>
  </si>
  <si>
    <t>Constrained from an event horizon and bracketed by 2 OSL ages. OSL age uncertainties 1 sigma.</t>
  </si>
  <si>
    <t>Constrained from an event horizon. No maximum age. OSL age uncertainties 1 sigma.</t>
  </si>
  <si>
    <t>Constrained from an event horizon and bracketed by 2 OSL ages. OSL age uncertainties 1 sigma. Radiocarbon age calibrated using OxCal v4.1.</t>
  </si>
  <si>
    <t>&gt;13.6 ± 1.8
&gt;2.9 ± 0.4</t>
  </si>
  <si>
    <t>&gt;14 (12.1-16)</t>
  </si>
  <si>
    <t>22.5 ± 2
4.8 ± 0.4</t>
  </si>
  <si>
    <t>Terrace surface and channel</t>
  </si>
  <si>
    <t>&lt;1.73-1.59</t>
  </si>
  <si>
    <t>Radiocarbon</t>
  </si>
  <si>
    <t>Langridge et al. (2010)</t>
  </si>
  <si>
    <t>Maruia River terraces</t>
  </si>
  <si>
    <t>&gt;10 ± 2
&gt;1.2 ± 0.5</t>
  </si>
  <si>
    <t>&gt;13.7 (11.8-15.5)</t>
  </si>
  <si>
    <t>12.0 ± 1.3
1.6 ± 0.6</t>
  </si>
  <si>
    <t>Terrace channels, risers, surface</t>
  </si>
  <si>
    <t>Langridge et al. (2010)  report SR in components (including reverse) so Net SR is calculated using CFM dip. Minimum values because using minimum age for displaced terrace.</t>
  </si>
  <si>
    <t>Radiocarbon calibration curve not stated - SHCal04?</t>
  </si>
  <si>
    <t>Radiocarbon ages calibrated using SHCal13</t>
  </si>
  <si>
    <t>Haupiri River</t>
  </si>
  <si>
    <t>11 ± 2, 14 ± 2
5</t>
  </si>
  <si>
    <t>≥6.3
≥2.5</t>
  </si>
  <si>
    <t>Reported SR of Ninis et al. (2013) has only one component. Measurements  using a photogrammetry model from 1940s aerial photos.</t>
  </si>
  <si>
    <t>Ninis et al. (2013) only report SR in components so Net SR calculated using CFM dip. Alternative maximum age suggests SR as low as 4.5 mm/yr. Measurements  using a photogrammetry model from 1940s aerial photos.</t>
  </si>
  <si>
    <t>Norris and Cooper (2001)</t>
  </si>
  <si>
    <r>
      <rPr>
        <sz val="10"/>
        <color theme="1"/>
        <rFont val="Calibri"/>
        <family val="2"/>
      </rPr>
      <t>≥</t>
    </r>
    <r>
      <rPr>
        <sz val="10"/>
        <color theme="1"/>
        <rFont val="Calibri"/>
        <family val="2"/>
        <scheme val="minor"/>
      </rPr>
      <t>6.8 (4.7-8.8)</t>
    </r>
  </si>
  <si>
    <t>Toaroha River</t>
  </si>
  <si>
    <t>7.8 ± 1</t>
  </si>
  <si>
    <t>DS</t>
  </si>
  <si>
    <t>V</t>
  </si>
  <si>
    <t>21.75 ± 0.6</t>
  </si>
  <si>
    <t>Terrace surface</t>
  </si>
  <si>
    <r>
      <t xml:space="preserve">50 </t>
    </r>
    <r>
      <rPr>
        <sz val="10"/>
        <color theme="1"/>
        <rFont val="Calibri"/>
        <family val="2"/>
      </rPr>
      <t>± 10</t>
    </r>
  </si>
  <si>
    <t>Kaka Creek (Mikonui River)</t>
  </si>
  <si>
    <t>Overthrust gravels</t>
  </si>
  <si>
    <t>Unclear if radiocarbon ages calibrated - suspect not</t>
  </si>
  <si>
    <t>Calculated between two radiocarbon ages from overthrust gravel.</t>
  </si>
  <si>
    <r>
      <rPr>
        <sz val="10"/>
        <color theme="1"/>
        <rFont val="Calibri"/>
        <family val="2"/>
      </rPr>
      <t>&gt;</t>
    </r>
    <r>
      <rPr>
        <sz val="10"/>
        <color theme="1"/>
        <rFont val="Calibri"/>
        <family val="2"/>
        <scheme val="minor"/>
      </rPr>
      <t>6.7 ± 1</t>
    </r>
  </si>
  <si>
    <t>Kakapotahi River</t>
  </si>
  <si>
    <t>29 ± 6
6 ± 1</t>
  </si>
  <si>
    <t>600 ± 100, 250 ± 50, 375 ± 50, 225 ± 25</t>
  </si>
  <si>
    <t>Terrace surface and risers</t>
  </si>
  <si>
    <t>Reported values of Little et al. (2010) as only one component. Mean of 6 measurements. 1 OSL age and some discussion of it being a maximum. Measurements from RTK map of fluvial terrace risers and channels.</t>
  </si>
  <si>
    <t>Only dextral offsets given. Unclear if DS rate is truely a DS rate or a vertical rate. Net SR calculated from reported values.</t>
  </si>
  <si>
    <t>Ages correlated to post-glacial aggradation surface and lower surface estimated by extrapolation.</t>
  </si>
  <si>
    <t>Gaunt Creek</t>
  </si>
  <si>
    <t>&gt;22
&gt;12</t>
  </si>
  <si>
    <t>&gt;25.1</t>
  </si>
  <si>
    <t>Dip slip offset is presumably measured along the fault but no description or uncertainties given. Strike SR calculated from DS using striations on the fault plane.</t>
  </si>
  <si>
    <t>Radiocarbon calibration curve not stated - SHCal98?</t>
  </si>
  <si>
    <t>Waikukupa River</t>
  </si>
  <si>
    <t>27 ± 5
8 ± 3</t>
  </si>
  <si>
    <t>1550-1900</t>
  </si>
  <si>
    <t>3.102-2.382</t>
  </si>
  <si>
    <t>13.6 ± 1.2;
7.6 ± 1.4</t>
  </si>
  <si>
    <t>14.88 ± 0.2</t>
  </si>
  <si>
    <t>3.55 ± 0.1 - 2.6 ± 0.16</t>
  </si>
  <si>
    <t>2.1 ± 0.25</t>
  </si>
  <si>
    <t>65 ± 5, 15</t>
  </si>
  <si>
    <t>Calculated from cross-sections across two thrusts along slip vector.  Here calculated back to net SR from preferred values.</t>
  </si>
  <si>
    <t>Ages correlated to 65 and 15 ka glacial advances. Needs updating.</t>
  </si>
  <si>
    <t>Norris and Cooper (1997)
Norris and Cooper (2001)</t>
  </si>
  <si>
    <t xml:space="preserve">Cooper and Norris (1994)
Norris and Cooper (2001)
</t>
  </si>
  <si>
    <t>Rattenbury et al. (1988)
Norris and Cooper (2001)</t>
  </si>
  <si>
    <t xml:space="preserve">Yetton and Nobes (1998)
Norris and Cooper (2001)
</t>
  </si>
  <si>
    <t>Paringa River</t>
  </si>
  <si>
    <t>7.5 ± 1.5</t>
  </si>
  <si>
    <t>Marine terraces</t>
  </si>
  <si>
    <t>1-11
11-130</t>
  </si>
  <si>
    <t>Some radiocarbon - calibration curve not stated - SHCal98? Correlation to 16 ka glacial advance? Needs updating.</t>
  </si>
  <si>
    <t>Simpson et al. (1994)
Norris and Cooper (2001)</t>
  </si>
  <si>
    <t>Haast River, North bank</t>
  </si>
  <si>
    <t>&gt;21.3 ± 0.8
&gt;2.0 +0.2/-0.1</t>
  </si>
  <si>
    <t>28.2 (22.6-33.8)</t>
  </si>
  <si>
    <t>&gt;21.5 (20.6-22.4)</t>
  </si>
  <si>
    <t>94 ± 1
&gt;9 ± 0.5</t>
  </si>
  <si>
    <t>Terrace channel</t>
  </si>
  <si>
    <t>4.4 ± 0.1</t>
  </si>
  <si>
    <t>SR reported as SS and DS, but DS is a vertical rate, so net SR calculated using CFM dip.</t>
  </si>
  <si>
    <t>Cooper and Norris (1995)
Norris and Cooper (2001)</t>
  </si>
  <si>
    <t>Haast River, South bank</t>
  </si>
  <si>
    <t>28.4 ± 4
2.25 ± 0.5</t>
  </si>
  <si>
    <t>25 ± 4
2</t>
  </si>
  <si>
    <t>1.2 ± 0.05</t>
  </si>
  <si>
    <t>Berryman et al. (2012) update the SS offset uncertainty to ±4 m and have assumed a V offset uncertainty of ±0.5 m. Net SR calculated using CFM dip and updated age from Berryman et al. (2012).</t>
  </si>
  <si>
    <t>Age from OxCal model. Calibration curve not stated - SHCal98?</t>
  </si>
  <si>
    <t>Okuru River</t>
  </si>
  <si>
    <t>3 ± 0.5</t>
  </si>
  <si>
    <r>
      <rPr>
        <sz val="10"/>
        <color theme="1"/>
        <rFont val="Calibri"/>
        <family val="2"/>
      </rPr>
      <t>≤</t>
    </r>
    <r>
      <rPr>
        <sz val="10"/>
        <color theme="1"/>
        <rFont val="Calibri"/>
        <family val="2"/>
        <scheme val="minor"/>
      </rPr>
      <t>10</t>
    </r>
  </si>
  <si>
    <t>Cooper and Bishop (1979)
Norris and Cooper (2001)</t>
  </si>
  <si>
    <t>Moraine ridge</t>
  </si>
  <si>
    <t>Correlation</t>
  </si>
  <si>
    <t>11-130
1-11</t>
  </si>
  <si>
    <t>Valley wall
Marine sediments</t>
  </si>
  <si>
    <t>Martyr River, SW spur</t>
  </si>
  <si>
    <t>433 ± 61</t>
  </si>
  <si>
    <t>Spur</t>
  </si>
  <si>
    <t>18 ± 1</t>
  </si>
  <si>
    <t>Correlated to the end of the LGM. Some constraints from radiocarbon and U-series dating elsewhere.</t>
  </si>
  <si>
    <t>Sutherland et al. (2006)</t>
  </si>
  <si>
    <t>475 ± 139</t>
  </si>
  <si>
    <t>447 ± 104</t>
  </si>
  <si>
    <t>Valley wall</t>
  </si>
  <si>
    <t>Jerry River valley, NE</t>
  </si>
  <si>
    <t>Jerry River valley, SW</t>
  </si>
  <si>
    <t>Pyke River valley wall</t>
  </si>
  <si>
    <t>1232 ± 48</t>
  </si>
  <si>
    <t>58 ± 5</t>
  </si>
  <si>
    <t>Correlated to time of maximum ice extent. Some constraints from cosmogenic and U-series dating elsewhere.</t>
  </si>
  <si>
    <t>409 ± 19</t>
  </si>
  <si>
    <t>Sutherland and Norris (1995)
Norris and Cooper (2001)
Sutherland et al. (2006)</t>
  </si>
  <si>
    <t>1240 ± 160</t>
  </si>
  <si>
    <t>Moraine</t>
  </si>
  <si>
    <t>1900 ± 100</t>
  </si>
  <si>
    <t>Partial moraine</t>
  </si>
  <si>
    <t>79 ± 8</t>
  </si>
  <si>
    <t>Correlated to glacial advance dated by cosmogenic dating elsewhere.</t>
  </si>
  <si>
    <t>Hokuri Creek North lateral moraines</t>
  </si>
  <si>
    <t>Hokuri Creek North oldest moraine</t>
  </si>
  <si>
    <t>Hokuri Creek South oldest moraine</t>
  </si>
  <si>
    <t>1800 ± 100</t>
  </si>
  <si>
    <t>Hokuri Creek South younger moraine</t>
  </si>
  <si>
    <t>Webb Creek aggradation fan</t>
  </si>
  <si>
    <t>510 ± 90</t>
  </si>
  <si>
    <t>Alluvial fan</t>
  </si>
  <si>
    <t>24.3
&lt;1</t>
  </si>
  <si>
    <t>438 ± 73
Differential Uplift rate</t>
  </si>
  <si>
    <t>18 ± 1
8.1-3.5</t>
  </si>
  <si>
    <t>Correlated to the end of the LGM. Some constraints from radiocarbon and U-series dating elsewhere. Radiocarbon calibration curve not stated - SHCal98?</t>
  </si>
  <si>
    <t>Hull and Berryman (1986)
Sutherland and Norris (1995)
Norris and Cooper (2001)
Sutherland et al. (2006)</t>
  </si>
  <si>
    <t>Kaipo River hillslope</t>
  </si>
  <si>
    <t>439 ± 49</t>
  </si>
  <si>
    <t>John O'Groats NE valley wall</t>
  </si>
  <si>
    <t>John O'Groats SW valley wall</t>
  </si>
  <si>
    <t>390 ± 34</t>
  </si>
  <si>
    <t>454 ± 46</t>
  </si>
  <si>
    <t>Milford Sound valley</t>
  </si>
  <si>
    <t>John O'Groats valley</t>
  </si>
  <si>
    <t>Kaiapo River valley</t>
  </si>
  <si>
    <t>Lake McKerrow valley</t>
  </si>
  <si>
    <t>Lake McKerrow hillslope</t>
  </si>
  <si>
    <t>Pyke River valley</t>
  </si>
  <si>
    <t>Cascade River valley</t>
  </si>
  <si>
    <t>Arawhata River valley</t>
  </si>
  <si>
    <t>29.6 +2.5/-4.5</t>
  </si>
  <si>
    <t>Valley</t>
  </si>
  <si>
    <t>270 ± 20</t>
  </si>
  <si>
    <t>130-750</t>
  </si>
  <si>
    <t>Correlated to MIS 8 galciation (EPICA Dome C record). Some Amino Acid Racemisation, macrofossil, form and palynology age constraints.</t>
  </si>
  <si>
    <t>Barth et al. (2014)</t>
  </si>
  <si>
    <t>Yetton, M.D.; Nobes, D.C. 1998 Recent vertical offset and near-surface structure of the Alpine Fault in Westland, New Zealand, from ground penetrating radar profiling. New Zealand Journal of Geology and Geophysics, 41(4): 485-492</t>
  </si>
  <si>
    <t>Norris, R.J.; Cooper, A.F. 1997 Erosional control on the structural evolution of a transpressional thrust complex on the Alpine Fault, New Zealand. Journal of Structural Geology, 19(10): 1323-1342</t>
  </si>
  <si>
    <t>Simpson, G.D.; Cooper, A.F.; Norris, R.J. 1994 Late Quaternary evolution of the Alpine Fault Zone at Paringa, South Westland, New Zealand. New Zealand Journal of Geology and Geophysics, 37(1): 49-58</t>
  </si>
  <si>
    <t>Cooper, A.F.; Norris, R.J. 1995 Displacement on the Alpine Fault at Haast River, South Westland, New Zealand. New Zealand Journal of Geology and Geophysics, 38(4): 509-514</t>
  </si>
  <si>
    <t>Norris and Cooper (2001)
Berryman et al. (2012b)</t>
  </si>
  <si>
    <t>Berryman et al. (2012a); Clark et al. (2013); Biasi et al. (2015)</t>
  </si>
  <si>
    <t>Berryman et al. (2012a ); Clark et al. (2013); Biasi et al. (2015)</t>
  </si>
  <si>
    <t>Cooper, A.F.; Bishop, D.G. 1979 Uplift rates and high level marine platforms associated with the Alpine Fault at Okuru River, south Westland. p. 35-43 IN: Walcott, R.I. (eds.); Cresswell, M.M. (eds.) The origin of the Southern Alps. Wellington: Royal Society of New Zealand. Bulletin / Royal Society of New Zealand 18.</t>
  </si>
  <si>
    <t>Sutherland, R.; Norris, R.J. 1995 Late Quaternary displacement rate, paleoseismicity, and geomorphic evolution of the Alpine Fault : evidence from Hokuri Creek, South Westland, New Zealand. New Zealand Journal of Geology and Geophysics, 38(4): 419-430</t>
  </si>
  <si>
    <t>Hull, A.G.; Berryman, K.R. 1986 Holocene tectonism in the region of the Alpine Fault at Lake McKerrow, Fiordland, New Zealand. p. 317-331 IN: Recent crustal movements of the Pacific region. Wellington: Royal Society of New Zealand. Bulletin / Royal Society of New Zealand 24.</t>
  </si>
  <si>
    <r>
      <t xml:space="preserve">80 </t>
    </r>
    <r>
      <rPr>
        <sz val="10"/>
        <color theme="1"/>
        <rFont val="Calibri"/>
        <family val="2"/>
      </rPr>
      <t>± 10</t>
    </r>
  </si>
  <si>
    <t>Transit Moraine North</t>
  </si>
  <si>
    <t>Transit Moraine South</t>
  </si>
  <si>
    <t>Poison Bay moraine</t>
  </si>
  <si>
    <t>Sutherland channels</t>
  </si>
  <si>
    <t>George south channels</t>
  </si>
  <si>
    <t>Doubtful fan central ridges and gullies</t>
  </si>
  <si>
    <t>470 ± 120</t>
  </si>
  <si>
    <t>440 ± 65</t>
  </si>
  <si>
    <t>465 ± 15</t>
  </si>
  <si>
    <t>460 ± 100</t>
  </si>
  <si>
    <t>460 ± 40</t>
  </si>
  <si>
    <t>540 ± 25</t>
  </si>
  <si>
    <t>530 ± 40</t>
  </si>
  <si>
    <t>540 ± 30</t>
  </si>
  <si>
    <t>520 ± 30</t>
  </si>
  <si>
    <t>Ridge</t>
  </si>
  <si>
    <t>17 ± 2</t>
  </si>
  <si>
    <t>Ages correlated to nearby radiocarbon-dated glacial outwash fans</t>
  </si>
  <si>
    <t>Barnes (2009)</t>
  </si>
  <si>
    <t>Net</t>
  </si>
  <si>
    <t>Data Source</t>
  </si>
  <si>
    <t>24.1 (19.6-29.1)</t>
  </si>
  <si>
    <t>26.4 (17.7-36.1)</t>
  </si>
  <si>
    <t>24.8 (18.1-32.4)</t>
  </si>
  <si>
    <t>21.1 (18.8-24.2)</t>
  </si>
  <si>
    <t>22.7 (20.5-25.5)</t>
  </si>
  <si>
    <t>24.1 (20.7-28.2)</t>
  </si>
  <si>
    <t>21.4 (17.1-26.4)</t>
  </si>
  <si>
    <t>22.8 (19.5-26.8)</t>
  </si>
  <si>
    <t>22 ± 12</t>
  </si>
  <si>
    <t>23.2 (17.5-30)</t>
  </si>
  <si>
    <t>24.3 (19.2-30.1)</t>
  </si>
  <si>
    <t>24.4 (20.5-28.7)</t>
  </si>
  <si>
    <t>21.7 (18.7-24.9)</t>
  </si>
  <si>
    <t>25.2 (21.5-29.4)</t>
  </si>
  <si>
    <t>27.6 (18.4-39.3)</t>
  </si>
  <si>
    <t>25.9 (19.7-33.7)</t>
  </si>
  <si>
    <t>27.4 (23.7-32)</t>
  </si>
  <si>
    <t>27.1 (18.9-37.3)</t>
  </si>
  <si>
    <t>27.1 (22.1-33.3)</t>
  </si>
  <si>
    <t>31.8 (27.1-37.7)</t>
  </si>
  <si>
    <t>31.2 (25.8-38)</t>
  </si>
  <si>
    <t>Doubtful fan south ridge</t>
  </si>
  <si>
    <t>31.8 (26.8-38)</t>
  </si>
  <si>
    <t>30.6 (25.8-36.7)</t>
  </si>
  <si>
    <t>SR 
(mm/yr)
Calculated Uncertainties</t>
  </si>
  <si>
    <t>Matakitaki River</t>
  </si>
  <si>
    <t>150 ± 25</t>
  </si>
  <si>
    <t>Moraine crest</t>
  </si>
  <si>
    <t>14 ± 2</t>
  </si>
  <si>
    <t>Weathering Rind</t>
  </si>
  <si>
    <t>Knuepfer (1992)</t>
  </si>
  <si>
    <t>Adamson, J.K. 1964 Alpine-Wairau and Waimea fault system in the Lake Rotoiti area. MSc (Geology) thesis, University of Canterbury.</t>
  </si>
  <si>
    <t>Lake Rotoiti younger moraine Peninsula</t>
  </si>
  <si>
    <t>Lake Rotoiti younger moraine Lake Shore</t>
  </si>
  <si>
    <t>Campbell, J.K. 1992 The Wairau and Alpine Faults : structure and tectonics of the S-bend junction. p. 10-30 IN: Campbell, J.K. Geological Society of New Zealand and New Zealand Geophysical Society 1992 Joint Annual Conference : University of Canterbury, 23 November-27 November : field trip guides. Wellington: Geological Society of New Zealand. Geological Society of New Zealand miscellaneous publication 63B.</t>
  </si>
  <si>
    <t>46 ± 12
3.5 ± 1.2</t>
  </si>
  <si>
    <t>58 ± 9
4.5 ± 1.5</t>
  </si>
  <si>
    <t>Reported in components, net SR calculated from CFM dip.</t>
  </si>
  <si>
    <t>Lake Rotoiti older moraine Peninsula</t>
  </si>
  <si>
    <t>67 ± 15
9.8 ± 4.6</t>
  </si>
  <si>
    <t>18 ± 2</t>
  </si>
  <si>
    <t>Wairau</t>
  </si>
  <si>
    <t>85 ± 5</t>
  </si>
  <si>
    <t>Waihopai River Terrace 1</t>
  </si>
  <si>
    <t>8.0 +2.8/-2.1
0.4 ± 0.1</t>
  </si>
  <si>
    <t>75 ± 10
3.8 ± 0.5</t>
  </si>
  <si>
    <t>9.4 ± 0.157</t>
  </si>
  <si>
    <t>Waihopai River Terrace 2 channel</t>
  </si>
  <si>
    <t>8.9 +3.4/-2.3
0.2 ± 0.1</t>
  </si>
  <si>
    <t>56 ± 8
1.5 ± 0.4</t>
  </si>
  <si>
    <t>6.29 ± 0.93</t>
  </si>
  <si>
    <t>Waihopai River Terrace 2 riser</t>
  </si>
  <si>
    <t>Waihopai River Terrace 3</t>
  </si>
  <si>
    <t>33.2 ± 4</t>
  </si>
  <si>
    <t>Riser</t>
  </si>
  <si>
    <t>Channels</t>
  </si>
  <si>
    <t>17.6 ± 4.0
0.7 ± 0.3</t>
  </si>
  <si>
    <t>5.46 ± 0.77</t>
  </si>
  <si>
    <t>160 ± 10</t>
  </si>
  <si>
    <t>0.1 ± 0.1</t>
  </si>
  <si>
    <t>Riser, tread</t>
  </si>
  <si>
    <t>Sinistral</t>
  </si>
  <si>
    <t>10.84 ± 1.89</t>
  </si>
  <si>
    <t>13.33 ± 2.47</t>
  </si>
  <si>
    <t>Fougere, S.R. 2002 Paleoseismicity and active earth deformation, Lake Rotoiti to West Wairau Valley section of the Alpine Fault. MSc (Engineering Geology) thesis, University of Canterbury. 150 p.</t>
  </si>
  <si>
    <t>Old Tophouse</t>
  </si>
  <si>
    <t>Fougere (2002)</t>
  </si>
  <si>
    <t>&gt;4.2 ± 1
&gt;0.8 (0.5-1.3)</t>
  </si>
  <si>
    <t>75 ± 10
15 ± 5</t>
  </si>
  <si>
    <t>Dating method not explicitly stated but appears to be correlation.</t>
  </si>
  <si>
    <t>Vertical slip rate not reported, but calculated from values in thesis. Net SR calculated from CFM dip.</t>
  </si>
  <si>
    <t>Fault Data</t>
  </si>
  <si>
    <t>1
1</t>
  </si>
  <si>
    <t>Pylon Creek T1</t>
  </si>
  <si>
    <t>2.9-4.8</t>
  </si>
  <si>
    <t>Pylon Creek T2</t>
  </si>
  <si>
    <t>3.0-4.9</t>
  </si>
  <si>
    <t>Pylon Creek T3</t>
  </si>
  <si>
    <t>2.6-4.2</t>
  </si>
  <si>
    <t>53 ± 3</t>
  </si>
  <si>
    <t>46 ± 5</t>
  </si>
  <si>
    <t>11-18</t>
  </si>
  <si>
    <t>Vertical slip rate not reported but inferred to be low, so have assumed RL SR = net SR.</t>
  </si>
  <si>
    <t>No direct dating; maximum age assumed to be LGM, min age in SR but rationale not given.</t>
  </si>
  <si>
    <t>Pylon Terrace T1</t>
  </si>
  <si>
    <t>Pylon Terrace T2</t>
  </si>
  <si>
    <t>4.5 (3.7-5.8)</t>
  </si>
  <si>
    <t>50 ± 5</t>
  </si>
  <si>
    <t>46 ± 2</t>
  </si>
  <si>
    <t>11 (9.2-13.5)</t>
  </si>
  <si>
    <t>Vertical slip rate not reported but inferred to be low, so have assumed RL SR = net SR. No SR uncertainty reported so calculated from offset and age uncertainties and assumed to be 95%.</t>
  </si>
  <si>
    <t>Single sample from a terrace riser and age noted to be a minimum age.</t>
  </si>
  <si>
    <t>4
4</t>
  </si>
  <si>
    <t>2
1</t>
  </si>
  <si>
    <t>4
4?</t>
  </si>
  <si>
    <t>2
2</t>
  </si>
  <si>
    <t xml:space="preserve">Knuepfer (1992) only reports one component so assume it could be a minimum net SR. </t>
  </si>
  <si>
    <t>≥10.7 (7.9-14.6)</t>
  </si>
  <si>
    <t>29.6 (23.5-35.7)</t>
  </si>
  <si>
    <t>-</t>
  </si>
  <si>
    <t xml:space="preserve">Offset uncertainty given as a confidence interval half-width. No vertical component mentioned so assume could be a minimum net slip rate. No SR uncertainty reported so calculated from offset and age uncertainties and assumed to be 95%. </t>
  </si>
  <si>
    <t>Offset uncertainty given as a confidence interval half-width. No vertical component mentioned so assume could be a minimum net slip rate. No SR uncertainty reported so calculated from offset and age uncertainties and assumed to be 95%.</t>
  </si>
  <si>
    <t>Vertical SR (reported as DS rate) from differential uplift of Holocene marine sediments across the fault. Offset uncertainty given as a confidence interval half-width. No vertical component mentioned. No SR uncertainty calculated so calculated from offset and age uncertainties and assumed to be 95%. Because V SR &lt;1 have not included it in a net SR calc.</t>
  </si>
  <si>
    <t>&gt;24.1 (19.6-29.1)</t>
  </si>
  <si>
    <t>&gt;26.4 (17.7-36.1)</t>
  </si>
  <si>
    <t>&gt;24.8 (18.1-32.4)</t>
  </si>
  <si>
    <t>&gt;21.1 (18.8-24.2)</t>
  </si>
  <si>
    <t>&gt;22.7 (20.5-25.5)</t>
  </si>
  <si>
    <t>&gt;24.1 (20.7-28.2)</t>
  </si>
  <si>
    <t>&gt;21.4 (17.1-26.4)</t>
  </si>
  <si>
    <t>&gt;22.8 (19.5-26.8)</t>
  </si>
  <si>
    <t>&gt;23.2 (17.5-30)</t>
  </si>
  <si>
    <t>&gt;24.4 (20.5-28.7)</t>
  </si>
  <si>
    <t>&gt;21.7 (18.7-24.9)</t>
  </si>
  <si>
    <t>&gt;25.2 (21.5-29.4)</t>
  </si>
  <si>
    <t>≥29.6 (25.1-32.1)</t>
  </si>
  <si>
    <t>Offset calculated by restoring hillshade assuming 10:1 RL:V. Single value calculated for all sites. Uncertainty calculated from Casacde R valley site. No V rate calculated so assume RL SR could be a minimum slip rate.</t>
  </si>
  <si>
    <t>Offset calculated from swath bathymetry data. No V rate calculated so assume RL SR could be a minimum slip rate. Uncertainties not reported so calculated from offset and age uncertainties and assumed to be 95%.</t>
  </si>
  <si>
    <t>≥25.9 (19.7-33.7)</t>
  </si>
  <si>
    <t>≥27.4 (23.7-32)</t>
  </si>
  <si>
    <t>≥27.1 (18.9-37.3)</t>
  </si>
  <si>
    <t>≥27.1 (22.1-33.3)</t>
  </si>
  <si>
    <t>≥31.8 (27.1-37.7)</t>
  </si>
  <si>
    <t>≥31.2 (25.8-38)</t>
  </si>
  <si>
    <t>≥31.8 (26.8-38)</t>
  </si>
  <si>
    <t>≥30.6 (25.8-36.7)</t>
  </si>
  <si>
    <t>3.9 (2.9-4.8)</t>
  </si>
  <si>
    <t>4.0 (3.0-4.9)</t>
  </si>
  <si>
    <t>3.4 (2.6-4.2)</t>
  </si>
  <si>
    <t>≥4.5 (4.1-4.9)</t>
  </si>
  <si>
    <t>6.3 (4.4-8.2)</t>
  </si>
  <si>
    <t>2.6 (2.0-3.2)</t>
  </si>
  <si>
    <t>&lt;1 (0.7-1.3)</t>
  </si>
  <si>
    <t>&lt;0.5 (0.4-0.6)</t>
  </si>
  <si>
    <t>&gt;1.5 (0.8-2.2)</t>
  </si>
  <si>
    <t>Awatere</t>
  </si>
  <si>
    <t>Saxton River T1/bedrock</t>
  </si>
  <si>
    <t>Saxton River T1 initial</t>
  </si>
  <si>
    <t>Saxton River T2 bedforms</t>
  </si>
  <si>
    <t>Saxton River T1/T2 riser</t>
  </si>
  <si>
    <t>Saxton River T2B.T3 riser</t>
  </si>
  <si>
    <t>Saxton River T3-T4/T5 riser</t>
  </si>
  <si>
    <t>Saxton River T5/T6 riser</t>
  </si>
  <si>
    <t>5.6 +0.4/-0.3</t>
  </si>
  <si>
    <t>5.8 ± 0.5</t>
  </si>
  <si>
    <t>6.9 ± 0.4</t>
  </si>
  <si>
    <t>5.9 +0.4/-0.3</t>
  </si>
  <si>
    <t>5.9 ± 0.6</t>
  </si>
  <si>
    <t>3.0 +0.3/-0.2</t>
  </si>
  <si>
    <t>5.2 ± 0.5</t>
  </si>
  <si>
    <t>Zinke et al. (2017)</t>
  </si>
  <si>
    <t>5.6 (5.3-6.0)</t>
  </si>
  <si>
    <t>5.8 (5.3-6.3)</t>
  </si>
  <si>
    <t>6.9 (6.5-7.3)</t>
  </si>
  <si>
    <t>5.9 (5.6-6.3)</t>
  </si>
  <si>
    <t>5.9 (5.3-6.5)</t>
  </si>
  <si>
    <t>3.0 (2.8-3.3)</t>
  </si>
  <si>
    <t>5.2 (4.7-5.7)</t>
  </si>
  <si>
    <t>72.5 ± 7.5</t>
  </si>
  <si>
    <t>70 +2/-17</t>
  </si>
  <si>
    <t>56 +3/-2</t>
  </si>
  <si>
    <t>45 ± 3</t>
  </si>
  <si>
    <t>33.5 +2.5/-3.5</t>
  </si>
  <si>
    <t>12.5 +3.0/-1.5</t>
  </si>
  <si>
    <t>9.5 ± 1.0</t>
  </si>
  <si>
    <t>12.9 +1.2/-1.0</t>
  </si>
  <si>
    <t>11.3 +1.4/-1.2</t>
  </si>
  <si>
    <t>8.1 ± 0.8</t>
  </si>
  <si>
    <t>7.6 +0.7/-0.8</t>
  </si>
  <si>
    <t>5.6 +1.1/-0.8</t>
  </si>
  <si>
    <t>4.3 +0.3/-0.4</t>
  </si>
  <si>
    <t>1.8 ± 0.3</t>
  </si>
  <si>
    <t>Calculated using back-slipping and lower terrace construction method.</t>
  </si>
  <si>
    <t>Single grain IRSL dating. Ages calculated using a two-step OxCal Bayesian statistical model. Uncertainties not explicitly stated but assumed to be 2 sigma.</t>
  </si>
  <si>
    <t>Saxton River T1 incremental</t>
  </si>
  <si>
    <t>Saxton River T2 incremental</t>
  </si>
  <si>
    <t>Saxton River T3 incremental</t>
  </si>
  <si>
    <t>Saxton River T2B incremental</t>
  </si>
  <si>
    <t>Saxton River T5 incremental</t>
  </si>
  <si>
    <t>Saxton River T6 incremental</t>
  </si>
  <si>
    <t>3.4 +1.0/-0.8</t>
  </si>
  <si>
    <t>16.8 +28.2/-7.6</t>
  </si>
  <si>
    <t>6.2 +3.4/-1.7</t>
  </si>
  <si>
    <t>15.2 +9.6/-4.6</t>
  </si>
  <si>
    <t>1.4 +0.5/-0.4</t>
  </si>
  <si>
    <t>4.2 +0.6/-0.5</t>
  </si>
  <si>
    <t>Terrace risers</t>
  </si>
  <si>
    <t>Terrace/bedrock and initial incision</t>
  </si>
  <si>
    <t>Terrace channels and riser</t>
  </si>
  <si>
    <t xml:space="preserve">Terrace riser and 1848 EQ offset </t>
  </si>
  <si>
    <t>3.4 (2.6-4.4)</t>
  </si>
  <si>
    <t>16.8 (9-45)</t>
  </si>
  <si>
    <t>6.2 (4.5-9.6)</t>
  </si>
  <si>
    <t>15.2 (10.6-24.8)</t>
  </si>
  <si>
    <t>1.4 (1.0-1.9)</t>
  </si>
  <si>
    <t>4.2 (3.7-4.8)</t>
  </si>
  <si>
    <t>12.9 +1.2/-1.0 -
11.3 +1.4/-1.2</t>
  </si>
  <si>
    <t>8.1 ± 0.8 - 
7.6 +0.7/-0.8</t>
  </si>
  <si>
    <t>7.6 +0.7/-0.8 - 
5.6 +1.1/-0.8</t>
  </si>
  <si>
    <t>5.6 +1.1/-0.8 - 
4.3 +0.3/-0.4</t>
  </si>
  <si>
    <t>4.3 +0.3/-0.4 - 
1.8 ± 0.3</t>
  </si>
  <si>
    <t>1.8 ± 0.3 - 
0.169</t>
  </si>
  <si>
    <t>C14</t>
  </si>
  <si>
    <t>Correlation
C14</t>
  </si>
  <si>
    <t>C14
Correlation</t>
  </si>
  <si>
    <t>Incremental slip rate calculated using a Monte Carlo sampling technique.</t>
  </si>
  <si>
    <t>Yetton, M.D. 2002 Paleoseismic investigation of the north and west Wairau sections of the Alpine Fault, South Island, New Zealand. Earthquake Commission research report 99/353. 96 p.</t>
  </si>
  <si>
    <t>60 (40-60)</t>
  </si>
  <si>
    <t>Lost Mary Creek</t>
  </si>
  <si>
    <t>Little Mary Creek</t>
  </si>
  <si>
    <t>Yetton (2002)</t>
  </si>
  <si>
    <t>7.5-8.6</t>
  </si>
  <si>
    <t>145 ± 10</t>
  </si>
  <si>
    <t>SR calculated only using dextral offset, but the scarp is noted to be 28-30 m high.</t>
  </si>
  <si>
    <t>Correlated to the Creighton 3 advance of the Late Otiran Glaciation, but other advances entertained (22 and 20 ka). No uncertainties given for ages.</t>
  </si>
  <si>
    <t xml:space="preserve">Yetton (2002)
</t>
  </si>
  <si>
    <t>7.7-8.8</t>
  </si>
  <si>
    <t>150 ± 10</t>
  </si>
  <si>
    <t>SR calculated only using dextral offset, but the scarp is noted to be 28-35 m high.</t>
  </si>
  <si>
    <t>Clarence</t>
  </si>
  <si>
    <t>70 ± 10</t>
  </si>
  <si>
    <t>Tophouse Road T1/T2 riser</t>
  </si>
  <si>
    <t>4.2 (3.9-4.4)</t>
  </si>
  <si>
    <t>Tophouse Road T2/T3 riser</t>
  </si>
  <si>
    <t>Tophouse Road T3/T4 riser</t>
  </si>
  <si>
    <t>Tophouse Road Channel Y</t>
  </si>
  <si>
    <t>4.2 +0.2/-0.3</t>
  </si>
  <si>
    <t>2.4 +0.1/-0.2</t>
  </si>
  <si>
    <t>8.1 +0.8/-0.7</t>
  </si>
  <si>
    <t>2.4 ± 0.2</t>
  </si>
  <si>
    <t>2.4 (2.2-2.5)</t>
  </si>
  <si>
    <t>2.4 (2.2-2.6)</t>
  </si>
  <si>
    <t>22.4 (2.2-2.6)</t>
  </si>
  <si>
    <t>11.2 ± 1.3</t>
  </si>
  <si>
    <t>9.0 1.0/-0.9</t>
  </si>
  <si>
    <t>4.5 +0.8/-0.7</t>
  </si>
  <si>
    <t>Calculated using the back-slipping method.</t>
  </si>
  <si>
    <t>ZInke et al. (2019)</t>
  </si>
  <si>
    <t>Calculated using the back-slipping method. Technically this site is on the Clarence SW fault in the CFM, but it doesn't make sense to separate it from the other Tophouse Road offset measurements, so it is assigned to the Clarence Central fault.</t>
  </si>
  <si>
    <t>Tophouse Road Incremental T1/T2/T3</t>
  </si>
  <si>
    <t>Tophouse Road Incremental T2/T3/T4</t>
  </si>
  <si>
    <t>Tophouse Road Incremental T3/T4/Y</t>
  </si>
  <si>
    <t>Tophouse Road Incremental Y/Today</t>
  </si>
  <si>
    <t>9.6 +5.0/-2.5</t>
  </si>
  <si>
    <t>1.3 +2.2/-1.2</t>
  </si>
  <si>
    <t>2.9 ± 0.5</t>
  </si>
  <si>
    <t>2.0 ± 0.1</t>
  </si>
  <si>
    <t>9.6 (7.1-14.6)</t>
  </si>
  <si>
    <t>1.3 (0.1-3.5)</t>
  </si>
  <si>
    <t>2.9 (2.4-3.4)</t>
  </si>
  <si>
    <t>2 (1.9-2.1)</t>
  </si>
  <si>
    <t>11.2 ± 1.3 - 9.0 1.0/-0.9</t>
  </si>
  <si>
    <t>9.0 1.0/-0.9 - 8.1 +0.8/-0.7</t>
  </si>
  <si>
    <t>8.1 +0.8/-0.7 - 4.5 +0.8/-0.7</t>
  </si>
  <si>
    <t>4.5 +0.8/-0.7 - 0</t>
  </si>
  <si>
    <t>Waiau River T1</t>
  </si>
  <si>
    <t>6.5 +2.2/-1.5
-0.2 ± 0.1</t>
  </si>
  <si>
    <t>Terrace</t>
  </si>
  <si>
    <t>Edwards River Terrace</t>
  </si>
  <si>
    <t>1.0 +0.8/-0.4
0.1 ± 0.1</t>
  </si>
  <si>
    <t>3.3 (1.7-4.8)</t>
  </si>
  <si>
    <r>
      <rPr>
        <sz val="10"/>
        <color theme="1"/>
        <rFont val="Calibri"/>
        <family val="2"/>
      </rPr>
      <t>≥</t>
    </r>
    <r>
      <rPr>
        <sz val="10"/>
        <color theme="1"/>
        <rFont val="Calibri"/>
        <family val="2"/>
        <scheme val="minor"/>
      </rPr>
      <t>5.3 (4.0-6.9)</t>
    </r>
  </si>
  <si>
    <t>3.57 ± 1.2</t>
  </si>
  <si>
    <t>Matagouri Flat</t>
  </si>
  <si>
    <t>13.3 ± 3.2</t>
  </si>
  <si>
    <t>Khajavi et al. (2018)</t>
  </si>
  <si>
    <t>14.2 ± 3.3</t>
  </si>
  <si>
    <t>McKenzie Fan 16, 17, 20, 25</t>
  </si>
  <si>
    <t>2.179-2.467</t>
  </si>
  <si>
    <t>&gt;0.515-0.653</t>
  </si>
  <si>
    <t>One age which is considered a minimum age for the surface. Calibration curve not stated. Uncertainties 2 sigma.</t>
  </si>
  <si>
    <t>One age. Calibration curve not stated. Uncertainties 2 sigma.</t>
  </si>
  <si>
    <t>7.5 ± 1</t>
  </si>
  <si>
    <t>32.6 ± 5.6</t>
  </si>
  <si>
    <t>McKenzie Fan 19, 27</t>
  </si>
  <si>
    <t>14.9 ± 3</t>
  </si>
  <si>
    <t>34 ± 5</t>
  </si>
  <si>
    <t>Measured 3 times to calculate uncertainties. Considered to represent most of the deformation zone. V (scarp height) reported but not used in calculations. Considered to be a maximum SR but treated as a mean when combined with other sites.</t>
  </si>
  <si>
    <t>Measured 3 times to calculate uncertainties. Considered to represent the whole deformation zone. V (scarp height) reported but not used in calculations.</t>
  </si>
  <si>
    <t>Macs Knob 16, 36, 37</t>
  </si>
  <si>
    <t>&gt;9.4 ± 1</t>
  </si>
  <si>
    <t>121 ± 11</t>
  </si>
  <si>
    <t>12.634-13.060</t>
  </si>
  <si>
    <t>Mean of 3 measurements, each measured 3 times to calculate uncertainties. V (scarp height) reported but not used in calculations.</t>
  </si>
  <si>
    <t>Macs Knob 25, 26, 30</t>
  </si>
  <si>
    <t>&lt;12 ± 1.4</t>
  </si>
  <si>
    <t>83 ± 7</t>
  </si>
  <si>
    <t>6.738-7.149</t>
  </si>
  <si>
    <t>Hope Shelter</t>
  </si>
  <si>
    <t>&lt;9.3 ± 2.7</t>
  </si>
  <si>
    <t>14 ± 3</t>
  </si>
  <si>
    <t>Fan</t>
  </si>
  <si>
    <t>1.418-1.688</t>
  </si>
  <si>
    <t>Khajavi et al. (2016, 2018)</t>
  </si>
  <si>
    <t>Hope</t>
  </si>
  <si>
    <t>Cowan, H.A. 1990 Late Quaternary displacements on the Hope Fault at Glynn Wye, North Canterbury. New Zealand Journal of Geology and Geophysics, 33(2): 285-293</t>
  </si>
  <si>
    <t>230 ± 20</t>
  </si>
  <si>
    <t>Field measurement of moraine front. Other studies(e.g., Knuepfer, 1992; Cowan, 1989) have different measurements suggesting measurement uncertainty is large. V displacement not explicitly discussed but noted RL SR is unreliable because it doesn't take it into account.</t>
  </si>
  <si>
    <t>Cowan (1990)</t>
  </si>
  <si>
    <t>Glyn Wye Moraine front</t>
  </si>
  <si>
    <t>Glyn Wye T2</t>
  </si>
  <si>
    <t>14.3 +21.4/-5.6</t>
  </si>
  <si>
    <t>135 ± 6</t>
  </si>
  <si>
    <t>9.42 ± 5.47</t>
  </si>
  <si>
    <t>Manuka Creek R2</t>
  </si>
  <si>
    <t>36 ± 0.5</t>
  </si>
  <si>
    <t>Cowan and McGlone (1991)</t>
  </si>
  <si>
    <t>10.5 ± 0.5
0.6 ± 0.1</t>
  </si>
  <si>
    <t>Knuepfer (1992) has slightly different measurements and ages, but prefer this one because based on trench ages. Reported in components, net SR calculated from CFM dip.</t>
  </si>
  <si>
    <t>1545 (1426-1675) BC</t>
  </si>
  <si>
    <t>Dating method not explicitly explained but likely correlation with glacial advances.</t>
  </si>
  <si>
    <t>Knuepfer (1988, 1992)</t>
  </si>
  <si>
    <t>Weathering Rind, Soil Development</t>
  </si>
  <si>
    <t>Uncertainties sigma not defined, but noted to likely be underestimated.</t>
  </si>
  <si>
    <t>Age is a composite of the two techniques. Uncertainties sigma not defined, but noted to likely be underestimated.</t>
  </si>
  <si>
    <t>Uncertainties sigma not defined, but noted to likely be underestimated. Cowan (1990) infers an older age.</t>
  </si>
  <si>
    <t>Others (e.g., Cowan 1990) have different measurements for this offset suggesting measurement uncertainty may be larger than stated. Vertical slip rate not reported but inferred to be low, so have assumed RL SR = net SR.</t>
  </si>
  <si>
    <t>Correlated to the Kumara 2 advance. Knuepfer (1992) has an older age based on weathering rind data, but Cowan (1990) widened the uncertainty to overlap this age.</t>
  </si>
  <si>
    <t>Lensen (1976)
Knuepfer (1988, 1992)</t>
  </si>
  <si>
    <t>Lensen, G.J. 1976 Sheets N28D, O28C &amp; N29B Hillersden and sheets O28D, P28A &amp; P28C Renwick. Wellington, N.Z.: Department of Scientific and Industrial Research. Late Quaternary tectonic map of New Zealand 1:50,000. 2 maps + 1 booklet</t>
  </si>
  <si>
    <t>Elliott</t>
  </si>
  <si>
    <t>60 ± 10</t>
  </si>
  <si>
    <t>N31C/493</t>
  </si>
  <si>
    <t>&gt;0.7</t>
  </si>
  <si>
    <t>0.7 (0.5-0.9)</t>
  </si>
  <si>
    <t>&lt;18</t>
  </si>
  <si>
    <t>SR is not explicitly given in map booklet . Calculated from one of a few sites where the offset and age are given. No uncertainties given for either. Assumed an offset uncertainty of ±2 m.</t>
  </si>
  <si>
    <t>Terrace correlated to a post-Kumara-2 advance. No uncertainties given so assumed ±2 ka.</t>
  </si>
  <si>
    <t>N31B/247</t>
  </si>
  <si>
    <t>&gt;0.5</t>
  </si>
  <si>
    <t>0.5 (0.4-0.7)</t>
  </si>
  <si>
    <t>N31B/226</t>
  </si>
  <si>
    <t>&gt;3.1</t>
  </si>
  <si>
    <t>3.1 (2.6-3.8)</t>
  </si>
  <si>
    <t>SR is not explicitly given in map booklet but a Clarence F SR in this section is referred to by Van Dissen and Nicol (2009). Calculated from one of a few sites where the offset and age are given. No uncertainties given for either. Assumed an offset uncertainty of ±5 m.</t>
  </si>
  <si>
    <t>N31C/444</t>
  </si>
  <si>
    <t>&gt;3.3</t>
  </si>
  <si>
    <t>3.3 (2.8-4.1)</t>
  </si>
  <si>
    <t>N31C/729</t>
  </si>
  <si>
    <t>4.1 +1.5/-1.0
0.3 ± 0.1</t>
  </si>
  <si>
    <t>3.3 +1.5/-1.2
0.3 ± 0.1</t>
  </si>
  <si>
    <t>3.3 +1.4/-1.1
0.5 +0.4/-0.2</t>
  </si>
  <si>
    <t>10.7 +3.9/-2.8</t>
  </si>
  <si>
    <t>1.095-1.275</t>
  </si>
  <si>
    <t>10.96 +0.113/-0.411</t>
  </si>
  <si>
    <t>4000 +520/-150</t>
  </si>
  <si>
    <t>Kieckhefer (1979)</t>
  </si>
  <si>
    <t>Kieckhefer (1979)
Knuepfer (1984, 1988, 1992)</t>
  </si>
  <si>
    <t>54 ± 3</t>
  </si>
  <si>
    <t>5.3 +1.6/-1.3</t>
  </si>
  <si>
    <t>3.2 +1.4/-1.0
-0.1 ± 0.1</t>
  </si>
  <si>
    <t>Channels, tread</t>
  </si>
  <si>
    <t>Charwell R aggradation terrace</t>
  </si>
  <si>
    <t>Charwell R Terrace 1</t>
  </si>
  <si>
    <t>Charwell R Terrace 2</t>
  </si>
  <si>
    <t>Charwell R Terrace 3</t>
  </si>
  <si>
    <t>Charwell R Terrace 5</t>
  </si>
  <si>
    <t>Charwell R Terrace 6</t>
  </si>
  <si>
    <t>Charwell R Terrace 9</t>
  </si>
  <si>
    <t>Charwell R Terrace 11</t>
  </si>
  <si>
    <t>Charwell R alluvial fan</t>
  </si>
  <si>
    <t>42.9 +11.3/-8.5</t>
  </si>
  <si>
    <t>36 +9.8/-7.0
0.9 +0.3/-0.2</t>
  </si>
  <si>
    <t>20.2 +6.5/-5.0
0.7 +0.3/-0.2</t>
  </si>
  <si>
    <t>20.8 +7.2/-5.3
1.8 +0.5/-0.4</t>
  </si>
  <si>
    <t>15.9 +5.7/-4.1</t>
  </si>
  <si>
    <t>12.8 +6.4/-4.8
0.7 +0.4/-0.2</t>
  </si>
  <si>
    <t>3.9 +1.3/-1.1
0.4 +0.2/-0.1</t>
  </si>
  <si>
    <t>1.3 +0.5/-0.4
0.3 ± 0.1</t>
  </si>
  <si>
    <t>8.2 +1.0/-0.9
1.0 ± 0.2</t>
  </si>
  <si>
    <r>
      <rPr>
        <sz val="10"/>
        <color theme="1"/>
        <rFont val="Calibri"/>
        <family val="2"/>
      </rPr>
      <t>≥</t>
    </r>
    <r>
      <rPr>
        <sz val="10"/>
        <color theme="1"/>
        <rFont val="Calibri"/>
        <family val="2"/>
        <scheme val="minor"/>
      </rPr>
      <t>15.9 +5.7/-4.1</t>
    </r>
  </si>
  <si>
    <t>600 ± 50</t>
  </si>
  <si>
    <t>390 ± 20
10 ± 1</t>
  </si>
  <si>
    <t>170 ± 20
6 ± 1</t>
  </si>
  <si>
    <t>140 ± 20
12 ± 1</t>
  </si>
  <si>
    <t>100 ± 15</t>
  </si>
  <si>
    <t>70 ± 20
4 ± 1</t>
  </si>
  <si>
    <t>18 ± 3
2.0 ± 0.5</t>
  </si>
  <si>
    <t>5.2 ± 1.0
1.0 ± 0.1</t>
  </si>
  <si>
    <t>6.3 ± 0.3
0.8 ± 0.1</t>
  </si>
  <si>
    <t>Fan apex</t>
  </si>
  <si>
    <t>8.49 ± 1.38</t>
  </si>
  <si>
    <t>6.72 ± 1.01</t>
  </si>
  <si>
    <t>4.66 ± 0.62</t>
  </si>
  <si>
    <t>3.9 ± 0.4</t>
  </si>
  <si>
    <t>0.77 ± 0.052</t>
  </si>
  <si>
    <t>Terrace not preserved on upthrown side - measured to modern valley. No V rate calculated so assume RL SR could be a minimum slip rate.</t>
  </si>
  <si>
    <t>Terrace poorly preserved on upthrown side. No V rate calculated so assume RL SR could be a minimum slip rate.</t>
  </si>
  <si>
    <t>Terrace poorly preserved on upthrown side. Reported in components, net SR calculated from CFM dip.</t>
  </si>
  <si>
    <t>Age correlation not discussed.</t>
  </si>
  <si>
    <t>Charcoal. Calibration curves used are Stuiver (1982) and Klein et al. (1982). Uncertainty not stated.</t>
  </si>
  <si>
    <t>Knuepfer (1984, 1988, 1992)</t>
  </si>
  <si>
    <t>Yang, J.S. 1991 The Kakapo Fault -- a major active dextral fault in the central North Canterbury - Buller regions of New Zealand. New Zealand Journal of Geology and Geophysics, 34(2): 137-143</t>
  </si>
  <si>
    <t>Kakapo</t>
  </si>
  <si>
    <t>Dismal Valley Stoney Terrace e</t>
  </si>
  <si>
    <t>Yang (1991)</t>
  </si>
  <si>
    <t>6.8 ± 0.8
0.4 ± 0.1</t>
  </si>
  <si>
    <t>40 ± 5
2.6 ± 0.3</t>
  </si>
  <si>
    <t>Estimated</t>
  </si>
  <si>
    <t>Reported in components, net SR calculated from CFM dip. Offset measured by tape measure. No age uncertainty used in SR calculation.</t>
  </si>
  <si>
    <t>Dismal Valley Spur</t>
  </si>
  <si>
    <t>6 ± 0.8</t>
  </si>
  <si>
    <t>Offset measured by tape measure or pacing. No age uncertainty used in SR calculation.</t>
  </si>
  <si>
    <t>Age attributed to Suggate (1965) so assume correlated to glacial advance. Uncertainty not stated.</t>
  </si>
  <si>
    <t>Acheron River</t>
  </si>
  <si>
    <t>1.4 ± 0.7</t>
  </si>
  <si>
    <t>River</t>
  </si>
  <si>
    <t>No dating, but by back-calculation, implies that the long-term offset approximately correlates to the start of the Quaternary period (and glacials).</t>
  </si>
  <si>
    <r>
      <t xml:space="preserve">SR calculated by partitioning SR on the eastern Clarence Fault across the central Clarence and Elliott faults using the long-term offset. Uncertainty of </t>
    </r>
    <r>
      <rPr>
        <sz val="10"/>
        <color theme="1"/>
        <rFont val="Calibri"/>
        <family val="2"/>
      </rPr>
      <t>±</t>
    </r>
    <r>
      <rPr>
        <sz val="10"/>
        <color theme="1"/>
        <rFont val="Calibri"/>
        <family val="2"/>
        <scheme val="minor"/>
      </rPr>
      <t>50% inferred. No V SR estimated so have assumed net SR could be a minimum .</t>
    </r>
  </si>
  <si>
    <t>2.8 ± 1.4</t>
  </si>
  <si>
    <t>5000 ± 2000</t>
  </si>
  <si>
    <t>2500 ± 2000</t>
  </si>
  <si>
    <t>47.0 ± 3</t>
  </si>
  <si>
    <t>21.5 ± 2</t>
  </si>
  <si>
    <t>17.5-21.5</t>
  </si>
  <si>
    <t>9 ± 1</t>
  </si>
  <si>
    <t>87.8 ± 8
2.0 ± 0.3</t>
  </si>
  <si>
    <t>3.6 ± 0.5
0.5 ± 0.1</t>
  </si>
  <si>
    <t>Kakapo Brook aggradation terrace</t>
  </si>
  <si>
    <t>5.8 +1.7/-1.3</t>
  </si>
  <si>
    <t>105 ± 15</t>
  </si>
  <si>
    <t>Not explicitly discussed, but correlated to moraine at Glyn Wye.</t>
  </si>
  <si>
    <r>
      <t xml:space="preserve">SR calculated by partitioning SR on the eastern Clarence Fault across the central Clarence and Elliott faults using the long-term offset. Uncertainty of </t>
    </r>
    <r>
      <rPr>
        <sz val="10"/>
        <color theme="1"/>
        <rFont val="Calibri"/>
        <family val="2"/>
      </rPr>
      <t>±</t>
    </r>
    <r>
      <rPr>
        <sz val="10"/>
        <color theme="1"/>
        <rFont val="Calibri"/>
        <family val="2"/>
        <scheme val="minor"/>
      </rPr>
      <t>50% inferred. No V SR estimated so have assumed net SR could be a minimum.</t>
    </r>
  </si>
  <si>
    <t>V SR not reported so  so have assumed net SR could be a minimum.</t>
  </si>
  <si>
    <t>Kakapo Brook Terrace 2</t>
  </si>
  <si>
    <t>4.5 +7.3/-2.1
0.5 ± 0.1</t>
  </si>
  <si>
    <t>32 ± 6
3.1 ± 0.1</t>
  </si>
  <si>
    <t>Poulter</t>
  </si>
  <si>
    <t>Ridge above South Hurunui</t>
  </si>
  <si>
    <t>c. 1</t>
  </si>
  <si>
    <t>Inferred from geomorphic relationship with Poulter and Blackwater glacial advances.</t>
  </si>
  <si>
    <t>Berryman and Villamor (2004)</t>
  </si>
  <si>
    <t>Hossack Station Offset D</t>
  </si>
  <si>
    <t>Hossack Station Offset C</t>
  </si>
  <si>
    <t>Hossack Station Offset B</t>
  </si>
  <si>
    <t>Hossack Station Offset A</t>
  </si>
  <si>
    <t>149 ± 3</t>
  </si>
  <si>
    <t>101 ± 3</t>
  </si>
  <si>
    <t>29 ± 1</t>
  </si>
  <si>
    <t>12 ± 2</t>
  </si>
  <si>
    <t>5.409-5.503</t>
  </si>
  <si>
    <t>1.09 ± 0.08</t>
  </si>
  <si>
    <t>C14, OSL</t>
  </si>
  <si>
    <t>SR not calculated for this offset, so have calculated it here. No mention of V rates, so assume pure RL.</t>
  </si>
  <si>
    <t>SR not calculated for this offset, so have calculated it here and taken median age as preferred. No mention of V rates, so assume pure RL.</t>
  </si>
  <si>
    <t>SR not calculated for this offset, so have calculated it here. Average rate as no uncertainties given for age. No mention of V rates, so assume pure RL.</t>
  </si>
  <si>
    <t>15.8 (15.6-16)</t>
  </si>
  <si>
    <t>18.5 (18.1-18.9)</t>
  </si>
  <si>
    <t>11.0 (9.9-12.0)</t>
  </si>
  <si>
    <t>Hossack Station Offset E</t>
  </si>
  <si>
    <t>210 ± 15</t>
  </si>
  <si>
    <t>Stream</t>
  </si>
  <si>
    <t>13.7 ± 1.6</t>
  </si>
  <si>
    <t>15.3 (13.4-17.8)</t>
  </si>
  <si>
    <t>Hossack Station Incremental DE</t>
  </si>
  <si>
    <t>Hossack Station Incremental CD</t>
  </si>
  <si>
    <t>Hossack Station Incremental BC</t>
  </si>
  <si>
    <t>Hossack Station Incremental AB</t>
  </si>
  <si>
    <t>Hossack Station Incremental OA</t>
  </si>
  <si>
    <t>13.7 +4/-3.4</t>
  </si>
  <si>
    <t>12.0 ± 0.9</t>
  </si>
  <si>
    <t>19.1 ± 0.8</t>
  </si>
  <si>
    <t>8.2 +2.7/-1.5</t>
  </si>
  <si>
    <t>32.7 +~124.9/-10.1</t>
  </si>
  <si>
    <t>13.7 (10.3-17.7)</t>
  </si>
  <si>
    <t>12.0 (11.1-12.9)</t>
  </si>
  <si>
    <t>19.1 (18.3-19.9)</t>
  </si>
  <si>
    <t>32.7 (22.6-157.6)</t>
  </si>
  <si>
    <t>8.2 (6.7-10.9)</t>
  </si>
  <si>
    <t>13.8-9.4</t>
  </si>
  <si>
    <t>9.4-5.4</t>
  </si>
  <si>
    <t>5.4-1.6</t>
  </si>
  <si>
    <t>1.6-1</t>
  </si>
  <si>
    <t>Incremental slip rate calculated using Markov Chain-Monte Carlo modelling. Uncertainties are 2 sigma.</t>
  </si>
  <si>
    <t>Ages derived from OxCal modelling and  reported in cal. yr before 2019. 2 sigma uncertainties. Calibration curve SHCAL13</t>
  </si>
  <si>
    <t>1.623-1.688</t>
  </si>
  <si>
    <t>17.5 (16.5-18.1)</t>
  </si>
  <si>
    <t>Titri</t>
  </si>
  <si>
    <t>Glenledi Road trench</t>
  </si>
  <si>
    <t>Clarendon T16/03 trench</t>
  </si>
  <si>
    <t>Clarendon T16/02 trench</t>
  </si>
  <si>
    <t>&gt;0.17</t>
  </si>
  <si>
    <t>&gt;4.7</t>
  </si>
  <si>
    <t>6.1 (4.7-8.0)</t>
  </si>
  <si>
    <t>Alluvial fan unit in trench</t>
  </si>
  <si>
    <t>36.5 (35.1-37.9)</t>
  </si>
  <si>
    <t>29.4 (28.0-30.8)</t>
  </si>
  <si>
    <t>2-4</t>
  </si>
  <si>
    <r>
      <rPr>
        <sz val="10"/>
        <color theme="1"/>
        <rFont val="Calibri"/>
        <family val="2"/>
      </rPr>
      <t>≥</t>
    </r>
    <r>
      <rPr>
        <sz val="8"/>
        <color theme="1"/>
        <rFont val="Calibri"/>
        <family val="2"/>
      </rPr>
      <t>2</t>
    </r>
  </si>
  <si>
    <r>
      <t>Dated unit immediately underlying displaced contact, so assumed to be the age of the contact. OSL ages reported with 1</t>
    </r>
    <r>
      <rPr>
        <sz val="10"/>
        <color theme="1"/>
        <rFont val="Calibri"/>
        <family val="2"/>
      </rPr>
      <t>σ</t>
    </r>
    <r>
      <rPr>
        <sz val="10"/>
        <color theme="1"/>
        <rFont val="Calibri"/>
        <family val="2"/>
        <scheme val="minor"/>
      </rPr>
      <t xml:space="preserve"> uncertainties.</t>
    </r>
  </si>
  <si>
    <r>
      <t>Dated unit ~1 m beneath underlying displaced contact, is a maximum age. OSL ages reported with 1</t>
    </r>
    <r>
      <rPr>
        <sz val="10"/>
        <color theme="1"/>
        <rFont val="Calibri"/>
        <family val="2"/>
      </rPr>
      <t>σ</t>
    </r>
    <r>
      <rPr>
        <sz val="10"/>
        <color theme="1"/>
        <rFont val="Calibri"/>
        <family val="2"/>
        <scheme val="minor"/>
      </rPr>
      <t xml:space="preserve"> uncertainties.</t>
    </r>
  </si>
  <si>
    <r>
      <t>Dated unit immediately ~0.5 m below displaced contact, so assumed to be the age of the contact. OSL ages reported with 1</t>
    </r>
    <r>
      <rPr>
        <sz val="10"/>
        <color theme="1"/>
        <rFont val="Calibri"/>
        <family val="2"/>
      </rPr>
      <t>σ</t>
    </r>
    <r>
      <rPr>
        <sz val="10"/>
        <color theme="1"/>
        <rFont val="Calibri"/>
        <family val="2"/>
        <scheme val="minor"/>
      </rPr>
      <t xml:space="preserve"> uncertainties.</t>
    </r>
  </si>
  <si>
    <t>Titri Central</t>
  </si>
  <si>
    <t>45 ± 10</t>
  </si>
  <si>
    <t>Akatore</t>
  </si>
  <si>
    <t>Big Creek Trench</t>
  </si>
  <si>
    <t>Calculated from vertical displacements in a trench and converted to dip-slip rate using dips in trench. Infer Dip-slip SR = net SR.</t>
  </si>
  <si>
    <t>Calculated from vertical displacements in a trench and converted to dip-slip rate using dips in trench. Infer' Dip-slip SR = net SR. Is a minimum because the unit could be eroded on the upthrown side.</t>
  </si>
  <si>
    <t>Calculated from vertical displacements in a trench and converted to dip-slip rate using dips in trench. Infer Dip-slip SR = net SR. A minimum because age is a maximum.</t>
  </si>
  <si>
    <t>0.3-6</t>
  </si>
  <si>
    <t>0.04-0.06</t>
  </si>
  <si>
    <t>Terrace strath</t>
  </si>
  <si>
    <t>1.339-15.333</t>
  </si>
  <si>
    <t>OxCal modelling of antepenultimate event, but a very large age range.</t>
  </si>
  <si>
    <t>Taieri mouth marine terrace</t>
  </si>
  <si>
    <t>Taylor-Silva et al. (2020)</t>
  </si>
  <si>
    <t>Taylor-Silva et al. (2020); Litchfield and Lian (2004)</t>
  </si>
  <si>
    <t>No age uncertainties given.</t>
  </si>
  <si>
    <t xml:space="preserve">From offset of a strath in trench. Uncertainties from different dip values used to calulate Dip SR.  Inferred to be a net SR. </t>
  </si>
  <si>
    <t xml:space="preserve">From offset of an horizon in a GPR profile inferred to be the shore platform. Uncertainties from different dip values used to calulate Dip SR.  Inferred to be a net SR. </t>
  </si>
  <si>
    <t>0.08-0.23</t>
  </si>
  <si>
    <t>&gt;0.15</t>
  </si>
  <si>
    <t>&lt;0.12</t>
  </si>
  <si>
    <t>3.9 (3.1-8.1)</t>
  </si>
  <si>
    <t>&gt;67.1-74.1</t>
  </si>
  <si>
    <t>Greenburn Stream</t>
  </si>
  <si>
    <t>≤18-9-26.8</t>
  </si>
  <si>
    <t>115 ± 15</t>
  </si>
  <si>
    <t>4.844-5.288</t>
  </si>
  <si>
    <t>Offset measurement method not mentioned but likely RTK.</t>
  </si>
  <si>
    <t>Radiocarbon ages calibrated using INTCAL98</t>
  </si>
  <si>
    <t>Sawyers Creek T4</t>
  </si>
  <si>
    <t>Sawyers Creek T3</t>
  </si>
  <si>
    <t>28 ± 8</t>
  </si>
  <si>
    <t>33 ± 13
2.6 ± 0.6</t>
  </si>
  <si>
    <t>78 2</t>
  </si>
  <si>
    <t>150 ± 20
11</t>
  </si>
  <si>
    <t>2.78 ± 0.56</t>
  </si>
  <si>
    <t>4.57 ± 0.91</t>
  </si>
  <si>
    <t>Offset measurement method not mentioned but assumed tape measure.</t>
  </si>
  <si>
    <t>Van Dissen (1989)</t>
  </si>
  <si>
    <t>Porters Pass</t>
  </si>
  <si>
    <t>75 (60-90)</t>
  </si>
  <si>
    <t>Lake Sumner glacial channel</t>
  </si>
  <si>
    <t>0.3-0.9</t>
  </si>
  <si>
    <t>7.0 ± 2
4.1 ± 1</t>
  </si>
  <si>
    <t>Glacial channel wall</t>
  </si>
  <si>
    <t>Howard et al. (2005)</t>
  </si>
  <si>
    <t>10-14</t>
  </si>
  <si>
    <t>Correlated to Acheron glacial deposits</t>
  </si>
  <si>
    <t>V SR not reported, but V offset is, so calculated Net SR using published RL SR and Dip-SR using CFM dip. Offset measured using EDM.</t>
  </si>
  <si>
    <t>Porters Pass Site 18</t>
  </si>
  <si>
    <t>33 ± 4</t>
  </si>
  <si>
    <t>3.2-4.1</t>
  </si>
  <si>
    <t>Terrace tread</t>
  </si>
  <si>
    <t>0.05 (0.04-0.06)</t>
  </si>
  <si>
    <t xml:space="preserve">Age inferred from nearby trench. Mean age only. Calibrated using Stuiver et al. (1998). </t>
  </si>
  <si>
    <t>2.7 +1.3/-0.9
0.6 +0.1/-0.2</t>
  </si>
  <si>
    <t>3.8 +4.0/-1.9
1.2 +1.0/-0.4</t>
  </si>
  <si>
    <t>3.2 +1.3/-1.0
2.1 ± 0.4</t>
  </si>
  <si>
    <t>Red Lakes Stream Terrace 3</t>
  </si>
  <si>
    <t>Red Lakes Stream Terrace 4</t>
  </si>
  <si>
    <t>Red Lakes Stream Terrace 5</t>
  </si>
  <si>
    <t>15 ± 4
3.0 ± 0.3</t>
  </si>
  <si>
    <t>13 ± 4
4.2 ± 0.5</t>
  </si>
  <si>
    <t>10.2 ± 2.5
6.6 ± 0.5</t>
  </si>
  <si>
    <t>3.41 ± 1.24</t>
  </si>
  <si>
    <t>3.17 ± 0.36</t>
  </si>
  <si>
    <t>Gable End</t>
  </si>
  <si>
    <t>40 ± 10</t>
  </si>
  <si>
    <t>Puatai Beach Upper terrace</t>
  </si>
  <si>
    <t>Pakarae River mouth T1</t>
  </si>
  <si>
    <t>&gt;4.2 +2.2/-0.9</t>
  </si>
  <si>
    <t>&gt;3.2 ± 0.8</t>
  </si>
  <si>
    <t>Litchfield et al. (2020)</t>
  </si>
  <si>
    <t>Wilson et al. (2006)</t>
  </si>
  <si>
    <t>&gt;7.9 (6.9-9.7)</t>
  </si>
  <si>
    <t>&gt;5.3 (4.3-7.2)</t>
  </si>
  <si>
    <t>7 ± 0.5</t>
  </si>
  <si>
    <t>Very young age so may not be representative of long-term SR. Calibrated using Marine13 and Delta R 142 ± 29. 2 sigma uncertainties.</t>
  </si>
  <si>
    <t>Calibrated using Marine04 and no Delta R? 2 sigma uncertainties.</t>
  </si>
  <si>
    <t>Palliser-Kaiwhata</t>
  </si>
  <si>
    <t>Pahaoa R mouth estuarine shell</t>
  </si>
  <si>
    <t>&gt;2.2-3.5</t>
  </si>
  <si>
    <t>&gt;4.4 (2.9-7.0)</t>
  </si>
  <si>
    <t>&gt;8.8 ± 0.5</t>
  </si>
  <si>
    <t>&gt;27 ± 0.5</t>
  </si>
  <si>
    <t>&gt;20.5-32.5</t>
  </si>
  <si>
    <t>9.281-9.461</t>
  </si>
  <si>
    <t>One date of uplifted shell. Calibrated using Marine13 and a Delta R of -30 ± 13.</t>
  </si>
  <si>
    <t>Litchfield and Clark (2015)</t>
  </si>
  <si>
    <t>Pahaoa R mouth PgT</t>
  </si>
  <si>
    <t>&gt;1.8-2.6</t>
  </si>
  <si>
    <t>Minimum vertical slip rate because is situated off-fault so offset assumed to be higher at the fault. Dip SR calculated using CFM dip and assumed pure reverse so Net SR = Dip SR.</t>
  </si>
  <si>
    <t>&gt;3.4 (2.3-5.2)</t>
  </si>
  <si>
    <t>15-21</t>
  </si>
  <si>
    <t>Uplifted terrace</t>
  </si>
  <si>
    <t>8.167-8.337</t>
  </si>
  <si>
    <t>Awhea R mouth PgT</t>
  </si>
  <si>
    <t>&gt;1.6-2.1</t>
  </si>
  <si>
    <t>&gt;2.9 (2.1-4.2)</t>
  </si>
  <si>
    <t>14 ± 1</t>
  </si>
  <si>
    <t>Terrace age inferred to peak of post-glacial SL rise at 7.5 ± 0.5 ka.</t>
  </si>
  <si>
    <t>Berryman, K.R. 1988 Late Quaternary marine terrace distribution, stratigraphy, and deformation at Mahia Peninsula, New Zealand. PhD (Geology) thesis, Victoria University of Wellington</t>
  </si>
  <si>
    <t>Lachlan</t>
  </si>
  <si>
    <t>Lachlan 3</t>
  </si>
  <si>
    <t>Mahia Pleistocene Marine T 1</t>
  </si>
  <si>
    <t>Mahia Pleistocene Marine T 2</t>
  </si>
  <si>
    <t>Mahia Pleistocene Marine T 3</t>
  </si>
  <si>
    <t>Mahia Pleistocene Marine T 4</t>
  </si>
  <si>
    <t>&gt;0.6 ± 0.1</t>
  </si>
  <si>
    <t>&gt;0.9 ± 0.1</t>
  </si>
  <si>
    <t>&gt;0.9 (0.7-1.4)</t>
  </si>
  <si>
    <t>&gt;1.4 (1-2)</t>
  </si>
  <si>
    <t>71 ± 10</t>
  </si>
  <si>
    <t>109 ± 10</t>
  </si>
  <si>
    <t>107 ± 10</t>
  </si>
  <si>
    <t>125 ± 2</t>
  </si>
  <si>
    <t>Uplift calculated from strandline altitude including estimated coverbed thickness and inferred height uncertainties. Minimum vertical slip rate because is situated off-fault so offset assumed to be higher at the fault. Dip SR calculated using CFM dip and assumed pure reverse so Net SR = Dip SR.</t>
  </si>
  <si>
    <t>Inferred to be the last interglacial 125 ka highstand terrace. Age uncertainties inferred.</t>
  </si>
  <si>
    <t>Berryman (1988, 1993), Beavan and Litchfield (2012)</t>
  </si>
  <si>
    <t>8.2 ± 0.5</t>
  </si>
  <si>
    <t>Berryman et al. (2018)</t>
  </si>
  <si>
    <t>Mahia Holocene Marine T1</t>
  </si>
  <si>
    <t>&gt;2.4 ± 0.1</t>
  </si>
  <si>
    <t>&gt;3.7 (3.2-4.6)</t>
  </si>
  <si>
    <t>3.53-3.35</t>
  </si>
  <si>
    <t>Uplift calculated from summing uplift of 4 terraces and dividing by terrace age. Minimum vertical slip rate because is situated off-fault so offset assumed to be higher at the fault. Dip SR calculated using CFM dip and assumed pure reverse so Net SR = Dip SR.</t>
  </si>
  <si>
    <t>Age from OxCal model, calibrated using Marine13 and no Delta R. 2 sigma uncertainties.</t>
  </si>
  <si>
    <t>Kairakau</t>
  </si>
  <si>
    <t>Kairakau South</t>
  </si>
  <si>
    <t>Pourere Estuarine Loc. 6</t>
  </si>
  <si>
    <t>&gt;1.3 ± 1.7</t>
  </si>
  <si>
    <t>&gt;2 (0.8-4)</t>
  </si>
  <si>
    <t>9.9 ± 5</t>
  </si>
  <si>
    <t>7.812 ± 0.143</t>
  </si>
  <si>
    <t>Uplift calculated from present height minus SL curve, which has high uncertainties. Minimum vertical slip rate because is situated off-fault so offset assumed to be higher at the fault. Dip SR calculated using CFM dip and assumed pure reverse so Net SR = Dip SR.</t>
  </si>
  <si>
    <t>One age of uplifted shell. Calibration curve not stated. 2 sigma uncertainties.</t>
  </si>
  <si>
    <t>Aramoana Estuarine Loc. 2</t>
  </si>
  <si>
    <t>&gt;1.4 ± 1.7</t>
  </si>
  <si>
    <t>11.4 ± 5</t>
  </si>
  <si>
    <t>8.036 ± 0.22</t>
  </si>
  <si>
    <t>Mataikona</t>
  </si>
  <si>
    <t>Owahanga Estuarine Loc. 178</t>
  </si>
  <si>
    <t>Akitio Estuarine Loc. 190</t>
  </si>
  <si>
    <t>&gt;1.7 ± 0.8</t>
  </si>
  <si>
    <t>&gt;1.9 ± 0.8</t>
  </si>
  <si>
    <t>&gt;0.5 ± 0.2</t>
  </si>
  <si>
    <t>Whakataki Estuarine Loc. 186</t>
  </si>
  <si>
    <t>&gt;2.2 (1.6-2.7)</t>
  </si>
  <si>
    <t>Mataikona (inferred unnamed nearshore fault)</t>
  </si>
  <si>
    <t>13.5 ± 5</t>
  </si>
  <si>
    <t>7.784 ± 0.224</t>
  </si>
  <si>
    <t>7-8</t>
  </si>
  <si>
    <t>14.7 ± 5</t>
  </si>
  <si>
    <t>7.819 ± 0.256</t>
  </si>
  <si>
    <t>3.5 ± 1</t>
  </si>
  <si>
    <t>6.579 ± 0.237</t>
  </si>
  <si>
    <t>Riversdale (unnamed inferred offshore fault)</t>
  </si>
  <si>
    <t>Riversdale</t>
  </si>
  <si>
    <t>N Riversdale Pleist Marine T 1</t>
  </si>
  <si>
    <t>N Riversdale Pleist Marine T 2</t>
  </si>
  <si>
    <t>N Riversdale Pleist Marine T 3</t>
  </si>
  <si>
    <t>N Riversdale Pleist Marine T 4</t>
  </si>
  <si>
    <t>N Riversdale Pleist Marine T 5</t>
  </si>
  <si>
    <t>N Riversdale Pleist Marine T 6</t>
  </si>
  <si>
    <t>&gt;0.3 ± 0.1</t>
  </si>
  <si>
    <t>&gt;0.4 ± 0.1</t>
  </si>
  <si>
    <t>&gt;0.7 ± 0.1</t>
  </si>
  <si>
    <t>&gt;0.5 ± 0.1</t>
  </si>
  <si>
    <t>Lee and Begg (2002); Beavan and Litchfield (2012)</t>
  </si>
  <si>
    <t>46 ± 10</t>
  </si>
  <si>
    <t>55 ± 10</t>
  </si>
  <si>
    <t>85 ± 10</t>
  </si>
  <si>
    <t>114 ± 10</t>
  </si>
  <si>
    <t>&gt;2.7 (2.1-4.1)</t>
  </si>
  <si>
    <t>&gt;2.9 (2.4-3.4)</t>
  </si>
  <si>
    <t>&gt;0.6 (0.4-0.9)</t>
  </si>
  <si>
    <t>&gt;0.7 (0.5-1.1)</t>
  </si>
  <si>
    <t>&gt;1.1 (0.8-1.5)</t>
  </si>
  <si>
    <t>&gt;1.4 (1.1-2)</t>
  </si>
  <si>
    <t>&gt;0.8 (0.6-1.2)</t>
  </si>
  <si>
    <t>S Riversdale Pleist Marine T 1</t>
  </si>
  <si>
    <t>S Riversdale Pleist Marine T 2</t>
  </si>
  <si>
    <t>S Riversdale Pleist Marine T 3</t>
  </si>
  <si>
    <t>S Riversdale Pleist Marine T 4</t>
  </si>
  <si>
    <t>S Riversdale Pleist Marine T 5</t>
  </si>
  <si>
    <t>S Riversdale Pleist Marine T 6</t>
  </si>
  <si>
    <t>S Riversdale Pleist Marine T 7</t>
  </si>
  <si>
    <t>S Riversdale Pleist Marine T 8</t>
  </si>
  <si>
    <t>S Riversdale Pleist Marine T 9</t>
  </si>
  <si>
    <t>S Riversdale Pleist Marine T 10</t>
  </si>
  <si>
    <t>Ghani, M.A. 1978 Late Cenozoic vertical crustal movements in the southern North Island, New Zealand. New Zealand Journal of Geology and Geophysics, 21(1): 117-125</t>
  </si>
  <si>
    <t>&gt;1.1 ± 0.1</t>
  </si>
  <si>
    <t>&gt;1.3 ± 0.1</t>
  </si>
  <si>
    <t>&gt;1.2 ± 0.1</t>
  </si>
  <si>
    <t>47 ± 10</t>
  </si>
  <si>
    <t>43 ± 10</t>
  </si>
  <si>
    <t>56 ± 10</t>
  </si>
  <si>
    <t>51 ± 10</t>
  </si>
  <si>
    <t>58 ± 10</t>
  </si>
  <si>
    <t>111 ± 10</t>
  </si>
  <si>
    <t>135 ± 10</t>
  </si>
  <si>
    <t>152 ± 10</t>
  </si>
  <si>
    <t>&gt;0.5 (0.3-0.9)</t>
  </si>
  <si>
    <t>&gt;1.7 (1.4-2.3)</t>
  </si>
  <si>
    <t>&gt;2.0 (1.5-2.8)</t>
  </si>
  <si>
    <t>&gt;1.9 (1.5-2.6)</t>
  </si>
  <si>
    <t>c. 16</t>
  </si>
  <si>
    <t>Opouawe R mouth estuarine</t>
  </si>
  <si>
    <t>White Rock estuarine</t>
  </si>
  <si>
    <t>&gt;2.6 ± 0.7</t>
  </si>
  <si>
    <t>&gt;3.7 ± 0.4</t>
  </si>
  <si>
    <t>11.031 ± 0.216</t>
  </si>
  <si>
    <t>8.815 ± 0.2055</t>
  </si>
  <si>
    <t>22.5 ± 6</t>
  </si>
  <si>
    <t>&gt;4.0 (2.4-6.4)</t>
  </si>
  <si>
    <t>&gt;5.7 (4.2-8.2)</t>
  </si>
  <si>
    <t>Ninis (2017)</t>
  </si>
  <si>
    <t>Ngawi Pleistocene marine T</t>
  </si>
  <si>
    <t>&gt;1.7 ± 0.1</t>
  </si>
  <si>
    <t>206.3 ± 10</t>
  </si>
  <si>
    <t>Two OSL ages 114.5 ± 10 and 126.7 ± 10 ka used to infer terrace dates to MIS5e highstand. No uncertainties given.</t>
  </si>
  <si>
    <t>Ninis, D. 2017. Upper plate deformation and its relationship to the underlying Hikurangi subduction interface - southern North Island, New Zealand. Unpublished PhD thesis, Victoria University of Wellington. 212 pp.</t>
  </si>
  <si>
    <t>Ohakune</t>
  </si>
  <si>
    <t>Ohakune OH-E</t>
  </si>
  <si>
    <t>3.5 ± 1.2</t>
  </si>
  <si>
    <t>55 ± 14</t>
  </si>
  <si>
    <t>Lahar terrace</t>
  </si>
  <si>
    <t>18 ± 3</t>
  </si>
  <si>
    <t xml:space="preserve">Surfaces on either side of the fault have different ages, but they took the youngest one, which is inferred to be Ohakean in age. </t>
  </si>
  <si>
    <t>Villamor  and Berryman (2006)</t>
  </si>
  <si>
    <t>Raetihi</t>
  </si>
  <si>
    <t>Raetihi North</t>
  </si>
  <si>
    <t>Raetihi South</t>
  </si>
  <si>
    <t>Raetihi N older</t>
  </si>
  <si>
    <t>Raetihi S older</t>
  </si>
  <si>
    <t>0.5 ± 0.2</t>
  </si>
  <si>
    <t>0.4 ± 0.1</t>
  </si>
  <si>
    <t>0.9 ± 0.2</t>
  </si>
  <si>
    <t>7.4 ± 2</t>
  </si>
  <si>
    <t>6.0 ± 1.6</t>
  </si>
  <si>
    <r>
      <t>Vertical scarp height measured usinng altimeter. Converted to DS displacement of 8.5 ± 2.6 m using a dip of 45-75</t>
    </r>
    <r>
      <rPr>
        <sz val="10"/>
        <color theme="1"/>
        <rFont val="Calibri"/>
        <family val="2"/>
      </rPr>
      <t>°</t>
    </r>
    <r>
      <rPr>
        <sz val="10"/>
        <color theme="1"/>
        <rFont val="Calibri"/>
        <family val="2"/>
        <scheme val="minor"/>
      </rPr>
      <t>. Uncertainties propagated through calculations and inferred to be 95% confidence intervals. No evidence of SS, so assume DS=NS.</t>
    </r>
  </si>
  <si>
    <r>
      <t>Vertical scarp height measured usinng altimeter. Converted to DS displacement of 6.9 ± 1.6 m using a dip of 45-75</t>
    </r>
    <r>
      <rPr>
        <sz val="10"/>
        <color theme="1"/>
        <rFont val="Calibri"/>
        <family val="2"/>
      </rPr>
      <t>°</t>
    </r>
    <r>
      <rPr>
        <sz val="10"/>
        <color theme="1"/>
        <rFont val="Calibri"/>
        <family val="2"/>
        <scheme val="minor"/>
      </rPr>
      <t>. Uncertainties propagated through calculations and inferred to be 95% confidence intervals. No evidence of SS, so assume DS=NS.</t>
    </r>
  </si>
  <si>
    <t>Waihi</t>
  </si>
  <si>
    <t>Waihi South</t>
  </si>
  <si>
    <t>Waihi Transect 10 Fault 5a</t>
  </si>
  <si>
    <t>1.39 ± 0.2</t>
  </si>
  <si>
    <t>28 ± 3.6</t>
  </si>
  <si>
    <t>Lahar</t>
  </si>
  <si>
    <t>Age uncertainty not given and unclear if used for SR calculations.</t>
  </si>
  <si>
    <t>Gomez-Vasconcelos et al. (2017)</t>
  </si>
  <si>
    <t>1.6 (1.3-2.1)</t>
  </si>
  <si>
    <t>Vert SR calculated along a transect crossing 6 traces. Converted to Dip SR using CFM dip and assumed to be a net SR.</t>
  </si>
  <si>
    <t>Waihi Transect 11 Fault 5a</t>
  </si>
  <si>
    <t>Waihi Transect 12 Fault 5a</t>
  </si>
  <si>
    <t>Waihi Transect 13 Fault 5a</t>
  </si>
  <si>
    <t>Waihi Transect 14 Fault 6b</t>
  </si>
  <si>
    <t>Waihi Transect 15 Fault 6b</t>
  </si>
  <si>
    <t>Waihi Transect 16 Fault 3b</t>
  </si>
  <si>
    <t>Waihi Transect 17 Fault 1d</t>
  </si>
  <si>
    <t>2.44 ± 0.32</t>
  </si>
  <si>
    <t>3.12 ± 0.25</t>
  </si>
  <si>
    <t>1.95 ± 0.2</t>
  </si>
  <si>
    <t>3.17 ± 0.3</t>
  </si>
  <si>
    <t>2 ± 0.4</t>
  </si>
  <si>
    <t>4 ± 0.32</t>
  </si>
  <si>
    <t>2.47 ± 0.47</t>
  </si>
  <si>
    <t>61 ± 5.1</t>
  </si>
  <si>
    <t>69 ± 5.6</t>
  </si>
  <si>
    <t>102 ± 8.1</t>
  </si>
  <si>
    <t>173 ± 10.9</t>
  </si>
  <si>
    <t>24 ± 3.5</t>
  </si>
  <si>
    <t>160 ± 9.4</t>
  </si>
  <si>
    <t>149 ± 11.5</t>
  </si>
  <si>
    <t>Vert SR calculated along a transect crossing 4 traces. Converted to Dip SR using CFM dip and assumed to be a net SR.</t>
  </si>
  <si>
    <t>Vert SR calculated along a transect crossing 5 traces. Converted to Dip SR using CFM dip and assumed to be a net SR.</t>
  </si>
  <si>
    <t>2.8 (2.3-3.6)</t>
  </si>
  <si>
    <t>3.6 (3.1-4.4)</t>
  </si>
  <si>
    <t>2.3 (1.9-2.8)</t>
  </si>
  <si>
    <t>3.7 (3.1-4.5)</t>
  </si>
  <si>
    <t>2.3 (1.7-3.1)</t>
  </si>
  <si>
    <t>4.6 (3.9-5.6)</t>
  </si>
  <si>
    <t>2.9 (2.1-3.8)</t>
  </si>
  <si>
    <t>Poutu</t>
  </si>
  <si>
    <t>Poutu Transect 1 Fault 3a</t>
  </si>
  <si>
    <t>Poutu Transect 2 Fault 5a</t>
  </si>
  <si>
    <t>Poutu Transect 3 Fault 5a</t>
  </si>
  <si>
    <t>Poutu Transect 4 Fault 4a</t>
  </si>
  <si>
    <t>Poutu Transect 5 Fault 4a</t>
  </si>
  <si>
    <t>Poutu Transect 6 Fault 6d</t>
  </si>
  <si>
    <t>Poutu Transect 7 Fault 7b</t>
  </si>
  <si>
    <t>Poutu Transect 8 Fault 9a</t>
  </si>
  <si>
    <t>Poutu Transect 9 Fault 7b</t>
  </si>
  <si>
    <t>55 ± 15</t>
  </si>
  <si>
    <t>1.9 ± 0.27</t>
  </si>
  <si>
    <t>1.9 ± 0.5</t>
  </si>
  <si>
    <t>1.4 ± 0.29</t>
  </si>
  <si>
    <t>5.3 ± 1.8</t>
  </si>
  <si>
    <t>1.6 ± 0.18</t>
  </si>
  <si>
    <t>2.1 ± 0.29</t>
  </si>
  <si>
    <t>1.8 ± 0.22</t>
  </si>
  <si>
    <t>2.3 ± 0.24</t>
  </si>
  <si>
    <t>2.3 (1.7-3.4)</t>
  </si>
  <si>
    <t>2.3 (1.5-3.7)</t>
  </si>
  <si>
    <t>1.7 (1.2-2.6)</t>
  </si>
  <si>
    <t>6.5 (3.7-11.0)</t>
  </si>
  <si>
    <t>2.0 (1.5-2.8)</t>
  </si>
  <si>
    <t>2.6 (1.9-3.7)</t>
  </si>
  <si>
    <t>2.2 (1.7-3.1)</t>
  </si>
  <si>
    <t>2.8 (2.2-4.0)</t>
  </si>
  <si>
    <t>79 ± 4.7</t>
  </si>
  <si>
    <t>40 ± 4.1</t>
  </si>
  <si>
    <t>37 ± 3.9</t>
  </si>
  <si>
    <t>38 ± 3.9</t>
  </si>
  <si>
    <t>38 ± 4</t>
  </si>
  <si>
    <t>82 ± 6.5</t>
  </si>
  <si>
    <t>95 ± 7.3</t>
  </si>
  <si>
    <t>41 ± 4.2</t>
  </si>
  <si>
    <t>181 ± 12.2</t>
  </si>
  <si>
    <t>Villamor, P.; Berryman, K.R. 2001 A Late Quaternary extension rate in the Taupo Volcanic Zone, New Zealand, derived from fault slip data. New Zealand Journal of Geology and Geophysics, 44(2): 243-269</t>
  </si>
  <si>
    <t>Maleme</t>
  </si>
  <si>
    <t>Rehi Road</t>
  </si>
  <si>
    <t>4.2 (3.5-5.1)</t>
  </si>
  <si>
    <t>71 ± 5.8</t>
  </si>
  <si>
    <t>Lake terrace</t>
  </si>
  <si>
    <t>20 ± 2</t>
  </si>
  <si>
    <t>Offsets measured along a transect of ~13 measurements using an altimeter. F is a graben structure and authors suggest one side could be antithetic and thus the net vertical offset and slip rate are half (37 ± 2.9 m and 1.85 ± 0.15 mm/yr), but 2010 NSHM and AFM includes full SR. Assume Dip SR = Net SR and calculate using CFM dip.</t>
  </si>
  <si>
    <t>Villamor and Berryman (2001)</t>
  </si>
  <si>
    <t>Raurimu</t>
  </si>
  <si>
    <t>Oruatoha Stream</t>
  </si>
  <si>
    <t>1.5 ± 0.2</t>
  </si>
  <si>
    <t>3.0 ± 0.1</t>
  </si>
  <si>
    <t>Lahar deposits</t>
  </si>
  <si>
    <t>2.020 ± 0.32</t>
  </si>
  <si>
    <t>Dip slip offset measured in or at a trench.</t>
  </si>
  <si>
    <t>Radiocarbon age from trench. Calibration curve not stated.</t>
  </si>
  <si>
    <t>Paeroa</t>
  </si>
  <si>
    <t>Paeroa Ignimbrite</t>
  </si>
  <si>
    <t>Paeroa Holocene surfaces</t>
  </si>
  <si>
    <t>1.53 ± 0.19</t>
  </si>
  <si>
    <t>550 ± 50</t>
  </si>
  <si>
    <t>Ignimbrite surface</t>
  </si>
  <si>
    <t>Holocene terrace</t>
  </si>
  <si>
    <t>360 ± 30</t>
  </si>
  <si>
    <r>
      <t>Vertical scarp height measured using altimeter. Converted to DS displacement of 63 ± 18 m using a dip of 45-75</t>
    </r>
    <r>
      <rPr>
        <sz val="10"/>
        <color theme="1"/>
        <rFont val="Calibri"/>
        <family val="2"/>
      </rPr>
      <t>°</t>
    </r>
    <r>
      <rPr>
        <sz val="10"/>
        <color theme="1"/>
        <rFont val="Calibri"/>
        <family val="2"/>
        <scheme val="minor"/>
      </rPr>
      <t>. Uncertainties propagated through calculations and inferred to be 95% confidence intervals. No evidence of SS, so assume DS=NS.</t>
    </r>
  </si>
  <si>
    <t>11.8-13.5</t>
  </si>
  <si>
    <t>Age from Houghton et al. (1995)</t>
  </si>
  <si>
    <t>1.8 (1.4-2.2)</t>
  </si>
  <si>
    <t>Paeroa EQ Flat Breccia</t>
  </si>
  <si>
    <t>1.3 ± 0.2</t>
  </si>
  <si>
    <t>1.5 (1.2-1.9)</t>
  </si>
  <si>
    <t>Breccia surface</t>
  </si>
  <si>
    <t>61 ± 1.4</t>
  </si>
  <si>
    <t>82 ± 5</t>
  </si>
  <si>
    <t>Age from Wilson et al. (2007)</t>
  </si>
  <si>
    <t>Berryman et al. (2008)</t>
  </si>
  <si>
    <t>Offsets measured using RTK GPS summed across multiple strands along two profiles. Updated from Villamor and Berryman (2001). Assumed to be pure normal and converted to Net SR using CFM dip.</t>
  </si>
  <si>
    <t>Offsets measured across multiple strands along a profile using 20 m topographic contours. Assumed to be pure normal and converted to Net SR using CFM dip.</t>
  </si>
  <si>
    <t>&gt;0.8-1.0</t>
  </si>
  <si>
    <t>0.8-1.0</t>
  </si>
  <si>
    <t>&gt;1.0 (0.9-1.3)</t>
  </si>
  <si>
    <t>Age simply given as Holocene by Berryman et al. (2008), so have assumed the age reported by Villamor and Berryman (2001), which is from Waiohau and Rotorua tephras identified in trenches.</t>
  </si>
  <si>
    <t>Offsets measured from two profiles including several trenches but noted to be a minimum as not all strands trenched. Updated from Villamor and Berryman (2001). Assumed to be pure normal and converted to Net SR using CFM dip.</t>
  </si>
  <si>
    <t>3.2 (0.3-6)</t>
  </si>
  <si>
    <t>8.1 (7.5-8.6)</t>
  </si>
  <si>
    <t>8.3 (7.7-8.8)</t>
  </si>
  <si>
    <t>14 (11-17)</t>
  </si>
  <si>
    <t>13.3 (10.1-16.5)</t>
  </si>
  <si>
    <t>6.8 (6.0-7.6)</t>
  </si>
  <si>
    <t>28 (20-36)</t>
  </si>
  <si>
    <t>≤22.9 (18-9-26.8)</t>
  </si>
  <si>
    <t>33.1 (20.1-46.1)</t>
  </si>
  <si>
    <t>0.7 (0.4-1)</t>
  </si>
  <si>
    <t>0.16 (0.08-0.23)</t>
  </si>
  <si>
    <t>Canora-Catalan et al. (2008)</t>
  </si>
  <si>
    <t>Whirinaki</t>
  </si>
  <si>
    <t>Ohakuri Ignimbrite profile 1</t>
  </si>
  <si>
    <t>Ohakuri Ignimbrite profile 2</t>
  </si>
  <si>
    <t>Ohakuri Ignimbrite profile 3</t>
  </si>
  <si>
    <t>Ohakuri Ignimbrite profile 4</t>
  </si>
  <si>
    <t>Ohakuri Ignimbrite profile 5</t>
  </si>
  <si>
    <t>120 ± 10</t>
  </si>
  <si>
    <t>105 ± 5</t>
  </si>
  <si>
    <t>130 ± 15</t>
  </si>
  <si>
    <t>125 ± 10</t>
  </si>
  <si>
    <t>Vert offset calculated along a profile across multiple traces from a 5 m TOPSAR radar DEM. Vert SR calculated here using the average age as per Canora-Catalan et al. (2008). Converted to Dip SR using CFM dip and assumed to be a net SR.</t>
  </si>
  <si>
    <t>Age from Ar-Ar dating (Leonard 2003) and no uncertainties given or used in SR calculation.</t>
  </si>
  <si>
    <t>0.5 (0.46-0.54)</t>
  </si>
  <si>
    <t>0.44 (0.42-0.46)</t>
  </si>
  <si>
    <t>0.54 (0.48-0.6)</t>
  </si>
  <si>
    <t>0.52 (0.48-0.56)</t>
  </si>
  <si>
    <t>0.33 (0.31-0.35)</t>
  </si>
  <si>
    <t>Fitzpatrick trench 21 ka</t>
  </si>
  <si>
    <t>Fitzpatrick trench 10 ka</t>
  </si>
  <si>
    <t>Matthews trench 27 ka</t>
  </si>
  <si>
    <t>Matthews trench 15 ka</t>
  </si>
  <si>
    <t>Matthews trench 1 ka</t>
  </si>
  <si>
    <t>0.3 ± 0.1</t>
  </si>
  <si>
    <t>0.2 ± 0.1</t>
  </si>
  <si>
    <t>1.4 ± 0.2</t>
  </si>
  <si>
    <t>-90 ± 20</t>
  </si>
  <si>
    <t>Tephra</t>
  </si>
  <si>
    <t>21.3-10</t>
  </si>
  <si>
    <t>10-0</t>
  </si>
  <si>
    <t>26.5-15</t>
  </si>
  <si>
    <t>15-1</t>
  </si>
  <si>
    <t>1-0</t>
  </si>
  <si>
    <t>Dip-slip incremental offset measured in trench. Offsets not reported. Assumed to be a net SR.</t>
  </si>
  <si>
    <t>Tephra ages from Lowe et al. (2008). Uncertainties not given for the ages used in the SR calculation and and unclear if they have been used.</t>
  </si>
  <si>
    <t>Ostler</t>
  </si>
  <si>
    <t>0.6 (0.5-0.8)</t>
  </si>
  <si>
    <t>1.1 (1.0-1.4)</t>
  </si>
  <si>
    <t>&lt;1.3 ± 0.2</t>
  </si>
  <si>
    <t>&lt;1.7 (1.5-2.1)</t>
  </si>
  <si>
    <t>&lt;1.3 (1.1-1.5)</t>
  </si>
  <si>
    <t>Outwash terrace</t>
  </si>
  <si>
    <t>&lt;1</t>
  </si>
  <si>
    <t>104.9 ± 6</t>
  </si>
  <si>
    <t>26.5 ± 4</t>
  </si>
  <si>
    <t>17.4 ± 10</t>
  </si>
  <si>
    <t>Used a thrust-related folding model to calculate SR using terrace tilt, backlimb width and surface ages. 2 sigma SR uncertainties calculated using a Monte Carlo simulation. Terrace profiles constructed from differential GPS surveys and 10-m TOPSAR DEM.</t>
  </si>
  <si>
    <t>Average of 2 OSL ages.</t>
  </si>
  <si>
    <t>Used cosmogenic age of Schaefer et al. (2006).</t>
  </si>
  <si>
    <t>Amos et al. (2007)</t>
  </si>
  <si>
    <t>45 ± 15</t>
  </si>
  <si>
    <t>90 ± 20</t>
  </si>
  <si>
    <t>1 OSL age agreed with cosmogenic age of Schaefer et al. (2001) near Lake Pukaki, so prefer that age. If 17.4 ± 1.0 ka, then SR is 1.7 (0.5-2.1) mm/yr.</t>
  </si>
  <si>
    <t>Ohau T2N Balmoral</t>
  </si>
  <si>
    <t>Ohau T2S Balmoral</t>
  </si>
  <si>
    <t>T3 Ohau Mt John</t>
  </si>
  <si>
    <t>T4 Ohau Tekapo</t>
  </si>
  <si>
    <t>Irishman Creek</t>
  </si>
  <si>
    <t>Ick Windgap T2 Balmoral</t>
  </si>
  <si>
    <t>Ick Windgap T3 Mt John</t>
  </si>
  <si>
    <t>Ick Windgap T4 Tekapo</t>
  </si>
  <si>
    <t>0.7 (0.6-1.1)</t>
  </si>
  <si>
    <t>0.5 (0.4-0.8)</t>
  </si>
  <si>
    <t xml:space="preserve">1 OSL age agreed with cosmogenic age of Schaefer et al. (2001) near Lake Pukaki, so prefer that age. </t>
  </si>
  <si>
    <t>Used a thrust-related folding model to calculate SR using terrace tilt, backlimb width and surface ages. 2 sigma SR uncertainties calculated using a Monte Carlo simulation. Terrace profiles surveyed using differential GPS.</t>
  </si>
  <si>
    <t>&lt;0.7</t>
  </si>
  <si>
    <t>&gt;22</t>
  </si>
  <si>
    <t>Offset measurement method not stated and no uncertainty given. Assume Dip SR = Net SR and calculate using CFM dip values.</t>
  </si>
  <si>
    <t>Inferred age from Read (1984)</t>
  </si>
  <si>
    <t>Ohau Benmore Surface</t>
  </si>
  <si>
    <t>Willowbank Saddle Surface</t>
  </si>
  <si>
    <t>&lt;0.8</t>
  </si>
  <si>
    <t>&lt;1.1</t>
  </si>
  <si>
    <t>&gt;120</t>
  </si>
  <si>
    <t>0.7 +0.4/-0.1</t>
  </si>
  <si>
    <t>0.5 +0.3/-0.1</t>
  </si>
  <si>
    <t>1.1 +0.3/-0.1</t>
  </si>
  <si>
    <t>0.6 +0.2/-0.1</t>
  </si>
  <si>
    <t>&lt;1.7 +0.4/-0.2</t>
  </si>
  <si>
    <t>Davis et al. (2005)</t>
  </si>
  <si>
    <t>Read, S.A.L.; Blick, G.H. 1991 Late Quaternary deformation and geodetic monitoring in the area of `The Knot' on the Ostler Fault Zone, South Island, New Zealand. p. 85-91 IN: Research notes 1990. Lower Hutt: DSIR Geology &amp; Geophysics. Record / New Zealand Geological Survey 43</t>
  </si>
  <si>
    <t>Read and Blick (1991)</t>
  </si>
  <si>
    <t>The Knot T0</t>
  </si>
  <si>
    <t>The Knot T1</t>
  </si>
  <si>
    <t>~0.3</t>
  </si>
  <si>
    <t>~0.47</t>
  </si>
  <si>
    <t>~0.4</t>
  </si>
  <si>
    <t>~0.7</t>
  </si>
  <si>
    <t>Offset from a river terrace profile - method not stated. No uncertainties. Assume Dip SR = Net SR and calculate using CFM dip values.</t>
  </si>
  <si>
    <t>Inferred correlation to Mt John III moraine. No uncertainties given.</t>
  </si>
  <si>
    <t>Inferred correlation to Mt John I moraine. No uncertainties given.</t>
  </si>
  <si>
    <t>Kerepehi</t>
  </si>
  <si>
    <t>Okoroire Hinuera</t>
  </si>
  <si>
    <t>Te Poi Hinuera</t>
  </si>
  <si>
    <t>Te Poi Madill trench</t>
  </si>
  <si>
    <t>Waitoa Hinuera</t>
  </si>
  <si>
    <t>Elstow Hinuera</t>
  </si>
  <si>
    <t>Te Puninga Hinuera</t>
  </si>
  <si>
    <t>0.08-0.17</t>
  </si>
  <si>
    <t>0.27-0.46</t>
  </si>
  <si>
    <t>0.26-0.32</t>
  </si>
  <si>
    <t>0.22-0.4</t>
  </si>
  <si>
    <t>0.17-0.23</t>
  </si>
  <si>
    <t>0.08-0.21</t>
  </si>
  <si>
    <t>2-3</t>
  </si>
  <si>
    <t>6-8</t>
  </si>
  <si>
    <t>5.5</t>
  </si>
  <si>
    <t>6 ± 1</t>
  </si>
  <si>
    <t>4</t>
  </si>
  <si>
    <t>2.0-3.7</t>
  </si>
  <si>
    <t>Persaud et al. (2016)</t>
  </si>
  <si>
    <t>Volcaniclastic terrace</t>
  </si>
  <si>
    <t>20 ± 2.5</t>
  </si>
  <si>
    <t>19 ± 2</t>
  </si>
  <si>
    <t>0.14 (0.1-0.24)</t>
  </si>
  <si>
    <t>0.33 (0.3-0.46)</t>
  </si>
  <si>
    <t>0.4 (0.31-0.65)</t>
  </si>
  <si>
    <t>0.35 (0.26-0.57)</t>
  </si>
  <si>
    <t>0.23 (0.21-0.32)</t>
  </si>
  <si>
    <t>0.16 (0.1-0.3)</t>
  </si>
  <si>
    <t>Estimated age from Wellman (Unpubl. Data). Uncertainty not stated.</t>
  </si>
  <si>
    <t>Offset measurement method not stated. Dip SR calculated using CFM dip and assumed pure normal so Net SR = Dip SR.</t>
  </si>
  <si>
    <t>Offset measurement possibly from LiDAR DEM. Dip SR calculated using CFM dip and assumed pure normal so Net SR = Dip SR.</t>
  </si>
  <si>
    <t>Age from Manville and Wilson (2004)</t>
  </si>
  <si>
    <t>Offset measurement possibly from LiDAR DEM. No uncertainties reported. Dip SR calculated using CFM dip and assumed pure normal so Net SR = Dip SR.</t>
  </si>
  <si>
    <t>Age estimated from relative position in terrace sequence.</t>
  </si>
  <si>
    <t>Te Puninga</t>
  </si>
  <si>
    <t>3.55 ± 0.3</t>
  </si>
  <si>
    <t>Ngakuru</t>
  </si>
  <si>
    <t>0.15 ± 0.12</t>
  </si>
  <si>
    <t>Site 18</t>
  </si>
  <si>
    <t>Ohakuri Ignimbrite B-B'</t>
  </si>
  <si>
    <t>Ohakuri Ignimbrite A-A'</t>
  </si>
  <si>
    <t>0.18 (0.04-0.4)</t>
  </si>
  <si>
    <t>40 ± 30</t>
  </si>
  <si>
    <t>260 ± 30</t>
  </si>
  <si>
    <t>Offset measured across several strands along a profile using 20 m topographic contours. Assumed to be pure normal and converted to Net SR using CFM dip.</t>
  </si>
  <si>
    <t>0.47 ± 0.05</t>
  </si>
  <si>
    <t>0.54 (0.45-0.68)</t>
  </si>
  <si>
    <t>30 ± 2.4</t>
  </si>
  <si>
    <t>64 ± 4</t>
  </si>
  <si>
    <t>From unpublished fission track ages.</t>
  </si>
  <si>
    <t>Age inferred considering tephrochonology and a radiocarbon age. Authors assign a 2 ka uncertainty.</t>
  </si>
  <si>
    <t>Age inferred from Hinuera deposits elsewhere.</t>
  </si>
  <si>
    <t>Offset measured across several strands using an altimeter and an uncertainty of ±25%, combuned using square root of the sum of the squares. Assumed to be pure normal and converted to Net SR using CFM dip.</t>
  </si>
  <si>
    <t>Older Lake Sediments</t>
  </si>
  <si>
    <t>Younger Lake Sediments</t>
  </si>
  <si>
    <t>0.45 ± 0.06</t>
  </si>
  <si>
    <t>0.52 (0.38-0.73)</t>
  </si>
  <si>
    <t>9 ± 1.1</t>
  </si>
  <si>
    <t>Offset measured across several strands from a trench and using an altimeter and an uncertainty of ±25%, combuned using square root of the sum of the squares. Assumed to be pure normal and converted to Net SR using CFM dip.</t>
  </si>
  <si>
    <t>Age inferred from radiocarbon age in trench and tephrochronology.</t>
  </si>
  <si>
    <t>Waipuna</t>
  </si>
  <si>
    <t>Mangaetoroa Stream</t>
  </si>
  <si>
    <t>&gt;0.1</t>
  </si>
  <si>
    <t>1 ± 0.5</t>
  </si>
  <si>
    <t>Degradational terrace</t>
  </si>
  <si>
    <t>&lt;15</t>
  </si>
  <si>
    <r>
      <t>Vertical scarp height measured usinng altimeter. Converted to DS displacement of 1.2 ± 0.6 m using a dip of 45-75</t>
    </r>
    <r>
      <rPr>
        <sz val="10"/>
        <color theme="1"/>
        <rFont val="Calibri"/>
        <family val="2"/>
      </rPr>
      <t>°</t>
    </r>
    <r>
      <rPr>
        <sz val="10"/>
        <color theme="1"/>
        <rFont val="Calibri"/>
        <family val="2"/>
        <scheme val="minor"/>
      </rPr>
      <t>. Uncertainties propagated through calculations and inferred to be 95% confidence intervals. No evidence of SS, so assume DS=NS.</t>
    </r>
  </si>
  <si>
    <t>Age inferred to be a maximum age close to the end of the last glaciation.</t>
  </si>
  <si>
    <t>Oruakukuru</t>
  </si>
  <si>
    <t>Mangawhero River</t>
  </si>
  <si>
    <t>0.7 ± 0.3</t>
  </si>
  <si>
    <t>20 ± 11</t>
  </si>
  <si>
    <t>Fluvial terrace</t>
  </si>
  <si>
    <t>32 ± 6</t>
  </si>
  <si>
    <t>Offset measured using contours on 1:50,000 scale topo map. Converted to DS displacement of 8.5 ± 2.6 m using a dip of 45-75°. Uncertainties propagated through calculations and inferred to be 95% confidence intervals. No evidence of SS, so assume DS=NS.</t>
  </si>
  <si>
    <t>Inferred to be Ratan fluvial terrace.</t>
  </si>
  <si>
    <t>Jade Humphrey</t>
  </si>
  <si>
    <t>Little et al. (1998)</t>
  </si>
  <si>
    <t xml:space="preserve">Sokkisha, model Set 4, total-station EDM theodolite created, fan edge, not as clear/good of a measurement. Dips SR using CFM dip, and same age constraints as above. Then calculated Net SR using dip SR and SS SR. </t>
  </si>
  <si>
    <t>Torlesse Pebble Weathering-Rind</t>
  </si>
  <si>
    <t>15.1 ± 1.3</t>
  </si>
  <si>
    <t>Riser, degradation terrace</t>
  </si>
  <si>
    <t>99 ± 34
1.3 ± 0.4</t>
  </si>
  <si>
    <t>6.6 (4.0-9.7)</t>
  </si>
  <si>
    <t>6.6 (+3.1/-2.6)</t>
  </si>
  <si>
    <t>Grey River (3)</t>
  </si>
  <si>
    <t xml:space="preserve">Sokkisha, model Set 4, total-station EDM theodolite map created, offset midpoint riser. Dips SR using CFM dip, and same age constraints as above. Then calculated Net SR using dip SR and SS SR. </t>
  </si>
  <si>
    <t>2.454 ± 0.98</t>
  </si>
  <si>
    <t>14.5 ± 2
1.5 ± 0.3</t>
  </si>
  <si>
    <t>5.9 (3.3-11.3)</t>
  </si>
  <si>
    <t>5.9 (+5.3/-2.3)</t>
  </si>
  <si>
    <t>Grey River (2)</t>
  </si>
  <si>
    <t xml:space="preserve">Sokkisha, model Set 4, total-station EDM theodolite map created. Offset is riser midpoint edge. Dips SR using CFM dip, and same age constraints as above. Then calculated Net SR using dip SR and SS SR. </t>
  </si>
  <si>
    <t>2.122 ± 0.7</t>
  </si>
  <si>
    <t>5.6 ± 2.1
3.5 ± 0.2</t>
  </si>
  <si>
    <t>3.1 (1.2-6.3)</t>
  </si>
  <si>
    <t>2.6 (+2.8/-1.4)</t>
  </si>
  <si>
    <t>Grey River (1)</t>
  </si>
  <si>
    <t xml:space="preserve">Dextral offset is from G. J. Lensen (unpub. field notes), Starborough 1 terrace of Eden (1989). Dips SR using CFM dip, and same age constraints as above. Then calculated Net SR using dip SR and SS SR. </t>
  </si>
  <si>
    <t>92 ± 10
0.8 ± 0.4</t>
  </si>
  <si>
    <t>6.1 (4.7-7.4)</t>
  </si>
  <si>
    <t>6.1 (+1.3/-1.1)</t>
  </si>
  <si>
    <t>West of Blairich River</t>
  </si>
  <si>
    <t>Age based on TL age of higher Starborough 1 terrace (2) and relative position of degradational Starborough 2 terrace below that older surface (see text)</t>
  </si>
  <si>
    <t xml:space="preserve">Starborough 2 terrace of Eden (1989) (surveyed). Map created using  Sokkisha, model Set 4, total-station EDM theodolite. Dips SR using CFM dip, and same age constraints as above. Then calculated Net SR using dip SR and SS SR. </t>
  </si>
  <si>
    <t>10.5 ± 2</t>
  </si>
  <si>
    <t>63 ± 3
2.7 ± 0.3</t>
  </si>
  <si>
    <t>6 (5-7.8)</t>
  </si>
  <si>
    <t>6.0 (+1.8/-1.0)</t>
  </si>
  <si>
    <t>Rossmore Stream (1)</t>
  </si>
  <si>
    <t xml:space="preserve">Offset relict stream channel on Starborough 1 surface (taped distance). For the age we have added an uncertainity of ± 2 ka, consistent with other in Benson. Dips SR using CFM dip, and same age constraints as above. Then calculated Net SR using dip SR and SS SR. </t>
  </si>
  <si>
    <t>Relict stream channel</t>
  </si>
  <si>
    <t>124 ± 10
8 ± 0.5</t>
  </si>
  <si>
    <t>6.0 (4.0-8.0)</t>
  </si>
  <si>
    <t>6 ± 2</t>
  </si>
  <si>
    <t>West of Nina Brook</t>
  </si>
  <si>
    <t>Torlesse pebble weathering-rind age calculated using technique and calibration equation of McSaveney (1992)</t>
  </si>
  <si>
    <t xml:space="preserve">Incised meander loops below Starborough 2 Terrace, taped distance. Dips SR using CFM dip, and same age constraints as above. Then calculated Net SR using dip SR and SS SR. </t>
  </si>
  <si>
    <t>0.4 ± 0.07</t>
  </si>
  <si>
    <t>Incised meander loop</t>
  </si>
  <si>
    <t>7 ± 2
0.2 ± 0.1</t>
  </si>
  <si>
    <t>17.5 (10.6-27.3)</t>
  </si>
  <si>
    <t>17.5 (+9.8/-6.9)</t>
  </si>
  <si>
    <t>Nina Brook</t>
  </si>
  <si>
    <t>Offset relict stream channel on Starborough 1 surface (taped distance). No vertical SR, assume net SR equals SS SR.</t>
  </si>
  <si>
    <t>123 ± 10</t>
  </si>
  <si>
    <t>East of Nina Brook (2)</t>
  </si>
  <si>
    <t>TL age of loess located stratigraphically 12 cm above Starborough 1 terrace tread at Seddon, a result that is consistent with tephrochronology and C14 dating of Starborough 1 gravels in Nina Brook. SEDN95-1</t>
  </si>
  <si>
    <t>Offset of fan apex from source canyon; fan downlaps onto Starborough 1 terrace (taped distance). No vertical SR, assume net SR equals SS SR.</t>
  </si>
  <si>
    <t>&lt;15.1</t>
  </si>
  <si>
    <t>&lt;15.1 ± 1.3</t>
  </si>
  <si>
    <t>Fan apex from source canyon</t>
  </si>
  <si>
    <t>112 ± 10</t>
  </si>
  <si>
    <t>7.4 (+1.4/-1.2)</t>
  </si>
  <si>
    <t>&gt;7.4 (+1.4/-1.2)</t>
  </si>
  <si>
    <t>West of Kennel Brook (4)</t>
  </si>
  <si>
    <t>75 ± 10</t>
  </si>
  <si>
    <t xml:space="preserve">Awatere </t>
  </si>
  <si>
    <t>Kawakawa tephra? In terrace cover-bed located &lt;50 cm stratigraphically above terrace.</t>
  </si>
  <si>
    <t xml:space="preserve">Downs 2 terrace of Eden (1989), filling bedrock paleocanyon (surveyed). SR is a maximum becaused incision fo bedrock predates filling, age of tephra is older than Kawakawa Tephra deposited on it. Dips SR using CFM dip, and same age constraints as above. Then calculated Net SR using dip SR and SS SR. </t>
  </si>
  <si>
    <t>Tephrochronolgy 
Correlation</t>
  </si>
  <si>
    <r>
      <t xml:space="preserve">23 </t>
    </r>
    <r>
      <rPr>
        <sz val="10"/>
        <rFont val="Calibri"/>
        <family val="2"/>
      </rPr>
      <t>± 1</t>
    </r>
  </si>
  <si>
    <t>32 ± 10
3.8 ± 0.2</t>
  </si>
  <si>
    <t>1.4 (0.9-1.9)</t>
  </si>
  <si>
    <t>1.4 ± 0.5</t>
  </si>
  <si>
    <r>
      <t xml:space="preserve">&lt;1.4 </t>
    </r>
    <r>
      <rPr>
        <sz val="10"/>
        <color theme="1"/>
        <rFont val="Calibri"/>
        <family val="2"/>
      </rPr>
      <t>± 0.5</t>
    </r>
  </si>
  <si>
    <t>Boundary Stream</t>
  </si>
  <si>
    <t>Van Dissen et al. (2001)</t>
  </si>
  <si>
    <t>Assumed that the dispaced terrace is youger than the main aggradation surface (14 ka), thus is a maximum age. SR could be much greater if terrace is significantly younger than 14 ka terrace.</t>
  </si>
  <si>
    <t xml:space="preserve">Downthrown east side. SR is a minimum due to uncertainity of terrace age. Displacement used for SR was a single measurement on older terrace. Also have other small offset measured on younger terraces, no age constraints? No vertical SR, assume dextral SR equals net SR. </t>
  </si>
  <si>
    <t>&gt;1</t>
  </si>
  <si>
    <t xml:space="preserve">Correlation </t>
  </si>
  <si>
    <t>&lt;14</t>
  </si>
  <si>
    <t>5-10</t>
  </si>
  <si>
    <t>&gt;0.55 (0.4-0.7)</t>
  </si>
  <si>
    <t>0.4-0.7</t>
  </si>
  <si>
    <t>&gt;0.4-0.7</t>
  </si>
  <si>
    <t>Akatarawa</t>
  </si>
  <si>
    <t>Beanland (1995)</t>
  </si>
  <si>
    <t>1-3</t>
  </si>
  <si>
    <t>Sample Alf 1/3 maximum age from Trench 1, Min age Sample Alf 2/11 minimum age of oldest peat from trench 2.</t>
  </si>
  <si>
    <t>Channel offset occurred over two events, one channel 12-14 another was offset 8.5-13. Doesn't say how this was measured. Ponding of drainage has formed swampy areas along the hillside. Due to the minimum age (not the method) and the resulting maximum range of  SR, have given this a C. Not vert SR therefore assume dextral SR equals net SR.</t>
  </si>
  <si>
    <t>0.51-2.96</t>
  </si>
  <si>
    <t>8.5-14</t>
  </si>
  <si>
    <t>2.9-27</t>
  </si>
  <si>
    <t xml:space="preserve"> Golf Course Trenches</t>
  </si>
  <si>
    <t>Alfredton</t>
  </si>
  <si>
    <t>Begg et al. (2001)</t>
  </si>
  <si>
    <t>Late Holocene surface which was estimated to be approximately 4 ka. A C14 age was taken in the trench, we infer that this is where the age is from</t>
  </si>
  <si>
    <t xml:space="preserve">SE side downthrown, normally. Late Holocene surface vertically offset by 2.3 m </t>
  </si>
  <si>
    <t>c. 4</t>
  </si>
  <si>
    <t>&gt;0.6</t>
  </si>
  <si>
    <t>Sage 1</t>
  </si>
  <si>
    <t>Zachariasen et al. (2000)</t>
  </si>
  <si>
    <t>Tentatively mapped as Q2a surface (10-18 ka)</t>
  </si>
  <si>
    <t>Vertical displacement of terrace surface which with low certainity? Is assumed to be Q2a. Locality not named. Caluclated vertical SR using 1.5 m offset and inferred uncertainity of 0.5 m and used full range of inferred ages  and inferred average of 14 ka. Dips SR calculated CFM and inferred to be net SR, which is a minimum because no SS SR.</t>
  </si>
  <si>
    <t>10-18</t>
  </si>
  <si>
    <t>D</t>
  </si>
  <si>
    <t>&gt;0.11 (0.06-0.20)</t>
  </si>
  <si>
    <t>T26/468237</t>
  </si>
  <si>
    <t>Probably a Q2a terrace (10-18 ka) but lower confidence as site was not visited.</t>
  </si>
  <si>
    <t>Only one strand was evident, site wasn't visited so vertical separation estimated and terrace was assumed to be Q2a. Caluclated vertical SR using 1.8 m offset and inferred uncertainity of 0.75 m and used full range of inferred ages  and inferred average of 14 ka. Dips SR calculated CFM and inferred to be net SR, which is a minimum because no SS SR.</t>
  </si>
  <si>
    <t>~1.8</t>
  </si>
  <si>
    <t>&gt;0.1 (0.1-0.3)</t>
  </si>
  <si>
    <t>Cornwall Road</t>
  </si>
  <si>
    <t>Q4a surface (60-80 ka)</t>
  </si>
  <si>
    <t>Vertical separation on Q4a across three strands was measured. I believe 7.9 m is the total of these measurements? North side up. Site not visited. Caluclated vertical SR using 7.9 m offset and inferred uncertainity of 1.0 m and used full range of inferred ages  and inferred average of 14 ka. Dips SR calculated CFM and inferred to be net SR, which is a minimum because no SS SR.</t>
  </si>
  <si>
    <t>60-80</t>
  </si>
  <si>
    <t>&gt;0.12 (0.10-0.15)</t>
  </si>
  <si>
    <t>Taratahi Road</t>
  </si>
  <si>
    <t>Q2a surface (10-18 ka)</t>
  </si>
  <si>
    <t>No site name, just said to be 200 m east of bus from another site. Well-developed scarp, north side up. Vertical separation not displacement. Caluclated vertical SR using 2.7 m offset and inferred uncertainity of 0.5 m and used full range of inferred ages  and inferred average of 14 ka. Dips SR calculated CFM and inferred to be net SR, which is a minimum because no SS SR.</t>
  </si>
  <si>
    <t>&gt;0.2 (0.1-0.3)</t>
  </si>
  <si>
    <t>200 m east of Perry's Road</t>
  </si>
  <si>
    <t>Terrace Q2a (10-18 ka) aged, because channels incised the age of surface provides maximum age of channel/offset.</t>
  </si>
  <si>
    <t xml:space="preserve">Offset channel cut into Q2a was measured. Vertical offset is a minimum, north side up. Author noted that these streams have been modified and turned into drains or irrigation ditches. Caluclated dextral SR using measured offset and uncertainity of used full range of inferred ages  and inferred average of 14 ka. Calculated Dips SR using CFM dip, and same age constraints as above. Then calculated Net SR using dip SR and SS SR. </t>
  </si>
  <si>
    <t>&lt;10-18</t>
  </si>
  <si>
    <t>≥3.0 (1.6-5.5)</t>
  </si>
  <si>
    <t>Perry's Road 2</t>
  </si>
  <si>
    <t>Offset channel cut into Q2a was measured. Author noted that these streams have been modified and turned into drains or irrigation ditches. Calculated dextral SR using measured offset and uncertainity of used full range of inferred ages  and inferred average of 14 ka. No vert Sr recorded so assume Net SR equals SS SR.</t>
  </si>
  <si>
    <r>
      <rPr>
        <sz val="10"/>
        <rFont val="Calibri"/>
        <family val="2"/>
      </rPr>
      <t>≥2.6 (</t>
    </r>
    <r>
      <rPr>
        <sz val="10"/>
        <rFont val="Calibri"/>
        <family val="2"/>
        <scheme val="minor"/>
      </rPr>
      <t>1.3-5.0)</t>
    </r>
  </si>
  <si>
    <t>Perry's Road 1</t>
  </si>
  <si>
    <t>Q2a aged (10-18 ka)</t>
  </si>
  <si>
    <t>&gt;0.3 (0.2-0.5)</t>
  </si>
  <si>
    <t>Chester Road</t>
  </si>
  <si>
    <t>Upper terrace Q2a 10-14 ka updated by Begg et al. (2001) from 10-18 ka.</t>
  </si>
  <si>
    <t xml:space="preserve">Both north side up, two terraces at same locality with varying offsets,  hence evidence for at least two events. </t>
  </si>
  <si>
    <t>Terrace surfaces</t>
  </si>
  <si>
    <t>&gt;0.35 (0.3-0.4)</t>
  </si>
  <si>
    <t>0.3-0.4</t>
  </si>
  <si>
    <t>Stream W of Mangatetere Stream</t>
  </si>
  <si>
    <t xml:space="preserve"> Q2a terrace displaced, vertical offset along a single strand of fault varies along same strike. Caluclated vertical SR using 5 m offset and inferred uncertainity of 1 m and used full range of inferred ages  and inferred average of 14 ka. Dips SR calculated CFM and inferred to be net SR, which is a minimum because no SS SR.</t>
  </si>
  <si>
    <t>&gt;0.4 (0.2-0.6)</t>
  </si>
  <si>
    <t>Cobden Road</t>
  </si>
  <si>
    <t>Here is a net vertical displacement (north side up) from 4.9 m north side up on the east trace and a 1.3 south side up displacement on the west trace.  Caluclated vertical SR using 3.6 m offset and inferred uncertainity of 0.5 m and used full range of inferred ages  and inferred average of 14 ka. Dips SR calculated CFM and inferred to be net SR, which is a minimum because no SS SR.</t>
  </si>
  <si>
    <t>&gt;0.3 (0.2-0.4)</t>
  </si>
  <si>
    <t>Kaipaitangata Stream</t>
  </si>
  <si>
    <t>Terraces were assumed to be late Last Glacial in age, which is given in as a range of 10-18 ka, authors used an average for SR.</t>
  </si>
  <si>
    <t>2.7-3.4</t>
  </si>
  <si>
    <t>&gt;0.2</t>
  </si>
  <si>
    <t>~0.2</t>
  </si>
  <si>
    <t>Arctus Road</t>
  </si>
  <si>
    <t>Carterton</t>
  </si>
  <si>
    <t>2 C14 ages from terraces, use 10.36 ± 0.07 and 9.48 ± 0.8, and use this to infer maximum age of incision. These are uncallibrated ages.</t>
  </si>
  <si>
    <t>Offset is total across two strands (NW strand 3 ±  1, minimum of 33 across SE strand) Sites 18 and 20. Located n larger offset. No vert SR reported, assume Net SR equals RL SR.</t>
  </si>
  <si>
    <t>c. 10</t>
  </si>
  <si>
    <t>&gt;36</t>
  </si>
  <si>
    <t>&gt;3.6</t>
  </si>
  <si>
    <t>c. &gt;3.6</t>
  </si>
  <si>
    <t>Dead Horse Gully Catchment 67/72</t>
  </si>
  <si>
    <t>Langridge et al. (2008)</t>
  </si>
  <si>
    <t>Two radiocarbon ages from the site. 2 sigma calibrated ages. Maximum from Trench-2, 12,396-12,801 (maximum range rounded).  Minimum from Trench 5 - 12,159-12,684 (rounded minimum age).</t>
  </si>
  <si>
    <t>12.2-12.8</t>
  </si>
  <si>
    <t>Offset fan</t>
  </si>
  <si>
    <t>9-11</t>
  </si>
  <si>
    <t>&gt;0.9 (0.8-1.0)</t>
  </si>
  <si>
    <t>Hanmer Golf Course</t>
  </si>
  <si>
    <t>Hanmer</t>
  </si>
  <si>
    <t xml:space="preserve">Hanmer </t>
  </si>
  <si>
    <t>Nicol et al. (2002); Vella et al. (1994)</t>
  </si>
  <si>
    <t>Age of top Porewan Terrace from Vella et al. (1994)</t>
  </si>
  <si>
    <t>Offset from Vella et al. (1994). Converted to Dips SR using CFM dip, no SS reported assume that Net SR is equal to vert SR.</t>
  </si>
  <si>
    <t>40 ± 3</t>
  </si>
  <si>
    <t>0.7 (0.5-0.8)</t>
  </si>
  <si>
    <t>0.7 ± 0.16</t>
  </si>
  <si>
    <t>Huangarua River - Porewan</t>
  </si>
  <si>
    <t>5.5 ± 0.5</t>
  </si>
  <si>
    <r>
      <t xml:space="preserve">0.46 </t>
    </r>
    <r>
      <rPr>
        <sz val="10"/>
        <rFont val="Calibri"/>
        <family val="2"/>
      </rPr>
      <t>± 0.14</t>
    </r>
  </si>
  <si>
    <t>Huangarua River - Waiohine</t>
  </si>
  <si>
    <t>65 ± 15</t>
  </si>
  <si>
    <t>Huangarua</t>
  </si>
  <si>
    <t>10-14 ka Waiohine surface</t>
  </si>
  <si>
    <t xml:space="preserve">Normal offset on fault. Calculated vertical SR using 3.4 m offset and inferred uncertainity of 0.5 m and used full range of inferred ages  and inferred average of 14 ka. Dips SR calculated CFM and inferred to be net SR, which is a minimum because no SS SR. </t>
  </si>
  <si>
    <t>Scarp height</t>
  </si>
  <si>
    <t>&gt;0.31 (0.27-0.38)</t>
  </si>
  <si>
    <t>066</t>
  </si>
  <si>
    <t>Renalls Trench</t>
  </si>
  <si>
    <t>Q2a age (10-18 ka) estimated.</t>
  </si>
  <si>
    <t>&gt;0.4 (0.3-0.6)</t>
  </si>
  <si>
    <t>Norfolk Road</t>
  </si>
  <si>
    <t xml:space="preserve">Fault is a single strand here. Caluclated vertical SR using 7.3 m offset and inferred uncertainity of 1 m and used full range of inferred ages  and inferred average of 14 ka. Dips SR calculated CFM and inferred to be net SR, which is a minimum because no SS SR. </t>
  </si>
  <si>
    <t>Close to Chester Road</t>
  </si>
  <si>
    <t>East of the graben structure. Caluclated vertical SR using 0.9 m offset and inferred uncertainity of 0.25 m and used full range of inferred ages  and inferred average of 14 ka. Dips SR calculated CFM and inferred to be net SR, which is a minimum because no SS SR.</t>
  </si>
  <si>
    <t>&gt;0.07 (0.04-0.12)</t>
  </si>
  <si>
    <t>Mangaterere Graben East</t>
  </si>
  <si>
    <t>Masterton</t>
  </si>
  <si>
    <t xml:space="preserve">Jade Humphrey </t>
  </si>
  <si>
    <t>Litchfield et al. (2007)</t>
  </si>
  <si>
    <t>Correlation to OSL age Formento-Trigilio et al. (2003) nearby on fan. Minimum age, 1 sigma.</t>
  </si>
  <si>
    <t>Vertical SR only, no evidence of RL, but could not be ruled out, assume Net SR equals dip SR calculated from CFM dip values.</t>
  </si>
  <si>
    <t>&gt;55</t>
  </si>
  <si>
    <t>Martinborough B-B'</t>
  </si>
  <si>
    <t>&lt;0.11</t>
  </si>
  <si>
    <t>Martinborough C-C'</t>
  </si>
  <si>
    <t xml:space="preserve">Martinborough </t>
  </si>
  <si>
    <t>Used age from Langridge (2003) age for Q3a-Q4. Q3a/Q4 terrace is matched to a Q2a surface across the fault.</t>
  </si>
  <si>
    <t>Offset measurements are scarp heights on older surface at Hawkhurst Station from Lensen (1969). Used Lensen to locate. Calclated SR using CFM dip (default is 90), assumed 1 m uncertainity for offset measurement. No SS SR reported assume net SR equals Vert SR.</t>
  </si>
  <si>
    <t>24-71</t>
  </si>
  <si>
    <t>&gt;0.3 (0.2-0.7)</t>
  </si>
  <si>
    <t>Hawkhurst Scarp Q3a-Q4 Lensen</t>
  </si>
  <si>
    <t>Offset measurements are scarp heights on older surface at Hawkhurst Station 17.8 is from Townsend et al. (2002). I used location from Townsend to locate. Reported as &gt;0.02-0.7, assume this is a typo. No SS SR reported assume net SR equals Vert SR.</t>
  </si>
  <si>
    <t>&gt;0.45 (0.2-0.7)</t>
  </si>
  <si>
    <t>0.2-0.7</t>
  </si>
  <si>
    <t>&gt;0.2-0.7</t>
  </si>
  <si>
    <t>Hawkhurst Scarp Q3a-Q4 Townsend</t>
  </si>
  <si>
    <t>Q2a surface (10-14 ka). Not sure what combination they to derive SR.</t>
  </si>
  <si>
    <t>10.7 m is the seperation acroass a Q2a cut surface at the fault at Hawkhurst Lensen (1969). Can't replicate the 0.5, but just have recorded the maximum reported range of the two Q2a sites. No SS SR reported, assume net SR equals Vert SR.</t>
  </si>
  <si>
    <t>Terrace vertical seperation</t>
  </si>
  <si>
    <t>Hawkhurst Scarp Q2a</t>
  </si>
  <si>
    <t>Q2a surface (10-14 ka). Appears they have used the 14 ka therefore it is a minimum SR.</t>
  </si>
  <si>
    <t>Offset of 4.2 is largest scarp height near Viewfield trench from Townsend et al. (2002). No SS SR reported, assume net SR equals Vert SR.</t>
  </si>
  <si>
    <t>&gt;0.3</t>
  </si>
  <si>
    <t>Viewfield Scarp</t>
  </si>
  <si>
    <t>Since Q2a gravels were depsoited (VW6). Don’t know if this is the age used to calculate SR. Raw c14 age is given, 2 sigma calibrated age is given in Appendix 1. Assume it was calibrated, didn’t make a difference when replicating it.</t>
  </si>
  <si>
    <t>SR is rounded. Profile created using GPS-RTK topographic map. Assume cover sequences (1 and 2) are relatively constant thickness outside of fault zone, therefore Sequences 3 and 4 is also the same, page 21. No SS SR reported, assume net SR equals Vert SR.</t>
  </si>
  <si>
    <t>Gravel</t>
  </si>
  <si>
    <t>~3</t>
  </si>
  <si>
    <t>&gt;0.25 (0.2-0.3)</t>
  </si>
  <si>
    <t>~0.2-0.3</t>
  </si>
  <si>
    <t>Viewfield Gravels</t>
  </si>
  <si>
    <t>90 (80-90)</t>
  </si>
  <si>
    <t>Mokonui Southwest</t>
  </si>
  <si>
    <t>Mokonui</t>
  </si>
  <si>
    <t>Measurement of a Ohakean riser which is inferred to be younger than Ohakean (approximately 15 ka), i.e. formed since the end of the last glacial.</t>
  </si>
  <si>
    <t>Note that riser offset was difficult to measure due to drainage ditches that cut along the base of the riser upstream and due to an alluvial fan that buries the upstream  riser/fault contact. Only one component reported, assume net SR equals RL SR.</t>
  </si>
  <si>
    <t>10-15</t>
  </si>
  <si>
    <t>20-30</t>
  </si>
  <si>
    <t>Florida Road (Site h)</t>
  </si>
  <si>
    <t>Age of terrace is inferred to be younger than Ohakean (10-15 ka).</t>
  </si>
  <si>
    <t>The vertical SR was not calculated even though a vertical offset was taken at Verry Woolshed on the same surface. Should be considered a minimum lateral SR, as a second sub-parallel western strand of the fault is 300m northwest of this site forming a graben structure and the SR for this strand is yet to be calculated. Calculated net SR using the vertical offset in text and CFM dip values, no change to reported SR.</t>
  </si>
  <si>
    <t>10-20
0.7</t>
  </si>
  <si>
    <t>&gt;1.35( 0.7-2)</t>
  </si>
  <si>
    <t>0.7-2</t>
  </si>
  <si>
    <t>ca. &gt;0.7-2</t>
  </si>
  <si>
    <t>Tangimoana Road (Site 1b)</t>
  </si>
  <si>
    <t>Uncertainity in terrace age. If terrace is  Marton in age i.e. ca 140 ka (evidence is loess, assume aggradational fill gravels) then SR is 3 mm/yr. If the valley wall was formed by degradation in previous interglacial (200 ka), then rate is closer to ~2 mm/yr.</t>
  </si>
  <si>
    <t>Displacement measured from offset NE wall in an unnamed stream (a) to hillslope contact (a'), as they assumed the stream once cut into the hillslope and deposited the now loess covered terrace. Should be considered a maximum estimate due to terrace abandonment. Actual method of measurement not discussed for this site. Only one component reported, assume net SR equals RL SR.</t>
  </si>
  <si>
    <t>ca. 140-200</t>
  </si>
  <si>
    <t>Alluvial terrace/hillslope contact</t>
  </si>
  <si>
    <t>&lt;450</t>
  </si>
  <si>
    <t>&lt;2.5 (2-3)</t>
  </si>
  <si>
    <t>3</t>
  </si>
  <si>
    <t>&lt;2-3</t>
  </si>
  <si>
    <r>
      <t>Corbetts Road (Site</t>
    </r>
    <r>
      <rPr>
        <b/>
        <sz val="10"/>
        <color theme="1"/>
        <rFont val="Calibri"/>
        <family val="2"/>
        <scheme val="minor"/>
      </rPr>
      <t xml:space="preserve"> </t>
    </r>
    <r>
      <rPr>
        <sz val="10"/>
        <color theme="1"/>
        <rFont val="Calibri"/>
        <family val="2"/>
        <scheme val="minor"/>
      </rPr>
      <t>85)</t>
    </r>
  </si>
  <si>
    <t>Northern Ohariu</t>
  </si>
  <si>
    <t>03/092020</t>
  </si>
  <si>
    <t>Age is not directly determined, assumed offset shoreline is postglacial in age c. 6.5 ka. Not sure what original dating method was used.</t>
  </si>
  <si>
    <t>c. &lt;6.5</t>
  </si>
  <si>
    <t>&lt;4.6</t>
  </si>
  <si>
    <t>Porirua (Loc. O090)</t>
  </si>
  <si>
    <t>Heron et al. (1998)</t>
  </si>
  <si>
    <t>Age is estimated  from the age of fine-grained sediments (inferred to be ponding) at the base of Ohariu Trenches 1a and 1b (Wk-1791). Age is uncallibrated.</t>
  </si>
  <si>
    <t>Assume that ponding (inferred from fine-grained sediments at base of trenches)  occurred before 45 ka (minimum age) and this SR is a maximum.
Minimum vertical SR is calcuated however is very low &lt;0.06., and is not included here. Assume dextral SR equals net SR.</t>
  </si>
  <si>
    <t>&gt;45</t>
  </si>
  <si>
    <t>&lt;5</t>
  </si>
  <si>
    <t>Ohariu Valley Trench 1a/1b</t>
  </si>
  <si>
    <t>1.5 ± 0.5</t>
  </si>
  <si>
    <t>Ohariu</t>
  </si>
  <si>
    <t xml:space="preserve">Age is inferred not directly determined from the lack of loess on the displaceed terraces. They suggest that this implies alluvial actiity until the end of the last glaciation. </t>
  </si>
  <si>
    <t>The offset stream channel incises the terrace surface, thus SR is minimum due to maximum age and relationship. Vertical offset is measured at some locations (nearby to this fault) along fault, however no vertical SR calculated.</t>
  </si>
  <si>
    <t>&gt;10</t>
  </si>
  <si>
    <t>Valley Road (Loc. 071)</t>
  </si>
  <si>
    <t>Age is inferred from lack of Kawakawa Tephra (22,590) in the loess capping the terraces and is not directly dated, so the terrace is assumed to be younger than this age. Not sure what original dating method used.</t>
  </si>
  <si>
    <t>Dextral offset is a maximum and therefore SR is a minimum. Vertical location is slightly more south of dextral measurement, but combined here. Vertical offset is a maximum thus SR is a minimum. Calculated net SR using CFM dip.</t>
  </si>
  <si>
    <t>&lt;22.59</t>
  </si>
  <si>
    <t>Channels in terrace surface</t>
  </si>
  <si>
    <t>&lt;14.5
&lt;1.2</t>
  </si>
  <si>
    <t>0.6
0.05</t>
  </si>
  <si>
    <t>&gt;0.6
&gt;0.05</t>
  </si>
  <si>
    <t>Kahao Stream Valley Terrace (Loc. 006/003)</t>
  </si>
  <si>
    <t>The age is inferred from the oldest exposed channel (unit 12) in the trench, which runs parallel to the fault and is assumed to represent the age where is it deflected by faulting. Used an approximate midpoint from the age ranges, which appendix 3 actaully state are max and mins (6760-6890 and 7000-7170) for this channel i.e. c. 6900, these ages are in 1 sigma. Appendix 3, has sigma 2, these ranges are actually 6720-7000 and 6890-7200 respectively, so the age used for SR may not be too far off.</t>
  </si>
  <si>
    <t xml:space="preserve"> SR is maximum due as the offset measured is max measured. No vertical SR given, assume dextral SR equals net SR.</t>
  </si>
  <si>
    <t>&lt;16</t>
  </si>
  <si>
    <t>&lt;2.3</t>
  </si>
  <si>
    <t>Horokiri Trench Paleochannel</t>
  </si>
  <si>
    <t>The authors state that this SR should be treated with caution due to this uncertainity. Offset is of colluvium/debris material from the interpreted source of a nearby hill. We have reported SR as a maximum due to minimum age, no vertical SR so dextral SR assumed to equal net SR.</t>
  </si>
  <si>
    <t>Debris/colluvium from hillslope</t>
  </si>
  <si>
    <t>c.15</t>
  </si>
  <si>
    <t>&gt;1.5</t>
  </si>
  <si>
    <t>Horokiri Trench Colluvium</t>
  </si>
  <si>
    <t xml:space="preserve">Age of the offset organic silt (unit 2) is inferred from a radiocarbon date (NZ8010) that is uncallibrated) and is not directly determined. </t>
  </si>
  <si>
    <t>The offsets are minimum and maximum offsets. Appendix 3 says this is a minimum SR, while the text (page 433) left column says maximum, which makes more sense as age is minimum age (so I have said it as a max SR).</t>
  </si>
  <si>
    <t>&lt;39.509</t>
  </si>
  <si>
    <t>&lt;39.509 (+2.42/-1.8)</t>
  </si>
  <si>
    <t>Organic silt from interpreted source (spring)</t>
  </si>
  <si>
    <t>42-76</t>
  </si>
  <si>
    <t>&lt;1.5 (1.1-1.9)</t>
  </si>
  <si>
    <t>1.1-1.9</t>
  </si>
  <si>
    <t>&lt;1.1-1.9</t>
  </si>
  <si>
    <t xml:space="preserve">Horokiri Trench Spring </t>
  </si>
  <si>
    <t>Inferred from the the age of the fanglomerate deposits that they incise into, which are interpreted to be late glacial (~18 ka)</t>
  </si>
  <si>
    <t>Fan surface/channel</t>
  </si>
  <si>
    <r>
      <t xml:space="preserve">20 ± 5
</t>
    </r>
    <r>
      <rPr>
        <sz val="10"/>
        <color theme="1"/>
        <rFont val="Calibri"/>
        <family val="2"/>
      </rPr>
      <t>≤</t>
    </r>
    <r>
      <rPr>
        <sz val="10"/>
        <color theme="1"/>
        <rFont val="Calibri"/>
        <family val="2"/>
        <scheme val="minor"/>
      </rPr>
      <t>2.5</t>
    </r>
  </si>
  <si>
    <t>1.1 (0.8-1.4)</t>
  </si>
  <si>
    <t>H
V</t>
  </si>
  <si>
    <t>0.8-1.4
0.14</t>
  </si>
  <si>
    <t>Pukerua Fanglomerate</t>
  </si>
  <si>
    <t>Pukerua</t>
  </si>
  <si>
    <t>Schermer et al. (2004)</t>
  </si>
  <si>
    <t>Assume terrace is same age as those near Alfredton (McCallion?)</t>
  </si>
  <si>
    <t xml:space="preserve">Suggest that this fault ruptured historically. Vertical offset is measured here as 2-2.5 m no vertical SR calculated. Therefore assume that net SR eqauls dextral SR. Lower terrace is also offset but no age constraints. </t>
  </si>
  <si>
    <t>c. 7</t>
  </si>
  <si>
    <t>9-13
2-2.5</t>
  </si>
  <si>
    <t>&gt;1.65 (1.3-2)</t>
  </si>
  <si>
    <t>c. 1.3-2</t>
  </si>
  <si>
    <t>Kaitawa</t>
  </si>
  <si>
    <t>Saunders Road</t>
  </si>
  <si>
    <t>Fraser et al. (2006)</t>
  </si>
  <si>
    <t>Surveryed dumpy level measurements as outlined in Fraser (2005). Calculated Dips SR using CFM dip. No SS SR recorded, assume Net SR equals dips SR.</t>
  </si>
  <si>
    <t>3.5 ± 0.5</t>
  </si>
  <si>
    <t>0.19 ± 0.05</t>
  </si>
  <si>
    <t>Terrace B</t>
  </si>
  <si>
    <t xml:space="preserve">Assume 1 sigma </t>
  </si>
  <si>
    <t>12.8 ± 1</t>
  </si>
  <si>
    <t>2.3 ± 0.5</t>
  </si>
  <si>
    <t>0.18 ± 0.05</t>
  </si>
  <si>
    <t>Terrace C</t>
  </si>
  <si>
    <t xml:space="preserve">Callibrated using Intcal98 Used two C14 ages from the peat. </t>
  </si>
  <si>
    <t>6.23 ± 0.58</t>
  </si>
  <si>
    <t>1.2 ± 0.2</t>
  </si>
  <si>
    <t>0.19 ± 0.04</t>
  </si>
  <si>
    <t>Terrace C Channels</t>
  </si>
  <si>
    <t xml:space="preserve">Waimea </t>
  </si>
  <si>
    <t>Three OSL samples were taken used to constrain the ages of the channels.Sample B2O-4 from Barton 2 dated Unit 7, giving age of ~28 ka. Channel sediments were dated B3O-1 and B2O-1 as 18 and 14 ka respectively. The authors took the minimum and max range of these three samples. We are only using the youngest age.</t>
  </si>
  <si>
    <t>18.3 ±1.2</t>
  </si>
  <si>
    <t>33. 5 ± 11.5
1.8 ± 0.5</t>
  </si>
  <si>
    <t>1.2 (1.1-2.6)</t>
  </si>
  <si>
    <t>Ruamahanga Channel 2</t>
  </si>
  <si>
    <t>22.1 ± 12.9
1.9 ± 0.5</t>
  </si>
  <si>
    <t>1.7 (0.5-2.1)</t>
  </si>
  <si>
    <t>Ruamahanga Channel 1</t>
  </si>
  <si>
    <t>Used a DTM which has a uncertainty of 25 % of the scarp height and ~ 0.2 m for DTM scale to measure vertical offset. Mean value obtained from top and bottom of riser, 2m of uncertainity added.</t>
  </si>
  <si>
    <t>30.5 ± 4.5
3 ± 0.8</t>
  </si>
  <si>
    <t>Ruamahanga Riser 2</t>
  </si>
  <si>
    <t>1.8 (1.4-1.9)</t>
  </si>
  <si>
    <t>Ruamahanga Riser 1</t>
  </si>
  <si>
    <t>Minimum age from sample p1-5 (wood pieces within clayey soil)  in Unit 5, the oldest date obtained from the channel. Age is calibrated but doesn't say 1 or 2 sigma).</t>
  </si>
  <si>
    <t>Vertical uncertainity are assessed as 25% of the scarp height plus a ~0.2 m uncertainity due to DTM scale that was used to measure offsets. From Terrace (Q4a).</t>
  </si>
  <si>
    <t>69.9 ± 4.1</t>
  </si>
  <si>
    <t>6.5 ± 1.6</t>
  </si>
  <si>
    <t>0.09 ± 0.02</t>
  </si>
  <si>
    <t>Kopuaranga (Penn Trenches)</t>
  </si>
  <si>
    <t>OSL age, from silt 70 cm below ground surface. Sample No. WLL667. Unclear what age is, refer to paragraph 3 page 7. Age is calibrated but doesn't say 1 or 2 sigma).</t>
  </si>
  <si>
    <t xml:space="preserve">Displacement of Channel 1, measured max and min are assumed to be 2 standard deviations. </t>
  </si>
  <si>
    <t>&gt;5.6 ± 0.4</t>
  </si>
  <si>
    <t>44 ± 9.5</t>
  </si>
  <si>
    <r>
      <t xml:space="preserve">7.8 </t>
    </r>
    <r>
      <rPr>
        <sz val="10"/>
        <color theme="1"/>
        <rFont val="Calibri"/>
        <family val="2"/>
      </rPr>
      <t>± 1.9</t>
    </r>
  </si>
  <si>
    <r>
      <t xml:space="preserve">&lt;7.8 </t>
    </r>
    <r>
      <rPr>
        <sz val="10"/>
        <color theme="1"/>
        <rFont val="Calibri"/>
        <family val="2"/>
      </rPr>
      <t>± 1.9</t>
    </r>
  </si>
  <si>
    <t>Kopuaranga Channel</t>
  </si>
  <si>
    <t>Age is a radiocarbon date from the trench, which they assume represented the start of sediment (gravel) accumulation in the trench. Uses 1 sigma throughout but lists 2 sigma also, not sure what is used for calculations</t>
  </si>
  <si>
    <t>Number of measurements is a little unclear.The offset measurement is said to be a maximum on page 6006 but beforehand is not just ignored that. No vert SR assume SS SR equals net SR.</t>
  </si>
  <si>
    <t>6.20-6.41</t>
  </si>
  <si>
    <t>~38-40</t>
  </si>
  <si>
    <t>&gt;6.2 (5.9-6.5)</t>
  </si>
  <si>
    <t>Tea Creek</t>
  </si>
  <si>
    <t>Wairarapa</t>
  </si>
  <si>
    <t>Van Dissen et al. (2013)</t>
  </si>
  <si>
    <t>Used Carne et al. (2011) estimation of the dextral displacement from horizontal to vertical displacement ratio. Used a triangular probability distrubution of various ages to get min/max bounds and a probable value used for SR calculation. Min and max SR are the 95% confidence bounds. No vertical SR, assume dextral SR equals net SR. Uncertainity is 95% confidence interval. SD is 1.4 mm/yr.</t>
  </si>
  <si>
    <t>Various</t>
  </si>
  <si>
    <t>129 ± 18</t>
  </si>
  <si>
    <t xml:space="preserve">10.1 (7.6-12.7)  </t>
  </si>
  <si>
    <t>Waiohine River Terrace</t>
  </si>
  <si>
    <r>
      <t xml:space="preserve">&lt;11.1 </t>
    </r>
    <r>
      <rPr>
        <sz val="10"/>
        <color theme="1"/>
        <rFont val="Calibri"/>
        <family val="2"/>
      </rPr>
      <t>± 0.6</t>
    </r>
  </si>
  <si>
    <t>Terrace riser?</t>
  </si>
  <si>
    <r>
      <t xml:space="preserve">101 </t>
    </r>
    <r>
      <rPr>
        <sz val="10"/>
        <color theme="1"/>
        <rFont val="Calibri"/>
        <family val="2"/>
      </rPr>
      <t>± 3</t>
    </r>
    <r>
      <rPr>
        <sz val="7"/>
        <color theme="1"/>
        <rFont val="Calibri"/>
        <family val="2"/>
      </rPr>
      <t xml:space="preserve"> </t>
    </r>
  </si>
  <si>
    <t>&gt;9.2 ± 0.5</t>
  </si>
  <si>
    <t>9.2 ± 0.5</t>
  </si>
  <si>
    <r>
      <t xml:space="preserve">&gt;9.2 </t>
    </r>
    <r>
      <rPr>
        <sz val="10"/>
        <color theme="1"/>
        <rFont val="Calibri"/>
        <family val="2"/>
      </rPr>
      <t>± 0.5</t>
    </r>
  </si>
  <si>
    <t>Terrace B Waiohine River</t>
  </si>
  <si>
    <t>13-18</t>
  </si>
  <si>
    <t>Incised channels on terrace surface</t>
  </si>
  <si>
    <t>120-130</t>
  </si>
  <si>
    <t>&gt;6.7-10</t>
  </si>
  <si>
    <t>6.7-10</t>
  </si>
  <si>
    <t>Waiohine River Channels</t>
  </si>
  <si>
    <t>Carne et al. (2011)</t>
  </si>
  <si>
    <t>Use ratio of H:V displacement. Offsets of 6 terraces were measured using mid-point contours (with triangular uncertainity regions) on the risers created from a Trimble RTK GPS and Sokkia EDM laser ranging survey ( ± 1cm horizontal and  ± 18cm vertical precision). Caluclated net SR using CFM dip and SR.</t>
  </si>
  <si>
    <t>11.1 ± 0.6</t>
  </si>
  <si>
    <t>129 ± 18
19.67 ± 0.09</t>
  </si>
  <si>
    <t>12.1 (9.1-15.0)</t>
  </si>
  <si>
    <t>14.1 ± 2.7
2.2 ± 0.4</t>
  </si>
  <si>
    <t>9.2 ± 1.3
1.4 ± 0.2</t>
  </si>
  <si>
    <t>11.9 ± 2.9
1.8 ± 0.2</t>
  </si>
  <si>
    <t>Waiohine River Terraces A and B</t>
  </si>
  <si>
    <t>Kaitoke Trench 2</t>
  </si>
  <si>
    <t>&gt;2.9-3.8</t>
  </si>
  <si>
    <t>2.9-3.8</t>
  </si>
  <si>
    <t>&gt;3.35 (2.9-3.8)</t>
  </si>
  <si>
    <t>30-40</t>
  </si>
  <si>
    <t>Offset measurement is taken from Berryman (1990). Said that the SR could be considered a minimum due to the number of splays that both the trench and the area contain. No vertical SR recorded, assume dextral SR equals net SR.</t>
  </si>
  <si>
    <t>Stated in ± 1 sigma. Dates are inferred from samples M (10.25 ka) and N (10.5 ka) taken from Kaitoke Trench 2 east wall. This is why I used this trench as the location for this SR.</t>
  </si>
  <si>
    <t>Van Dissen et al. (1992); Berryman (1990)</t>
  </si>
  <si>
    <t>Age is maximum inferred age of beach ridge, as they overlie the c. 4 ka Melling Peat (Stevens 1956).</t>
  </si>
  <si>
    <t>Offset said to be only possible 20 m. Beach ridge is located immediately north of Wakefield St. Should his be a minimum SR then? No vertical SR, therefore assume that dextral SR equals net SR.</t>
  </si>
  <si>
    <t>&lt;4</t>
  </si>
  <si>
    <t>Beach ridge</t>
  </si>
  <si>
    <t>c. 5</t>
  </si>
  <si>
    <t>Beach Ridge F</t>
  </si>
  <si>
    <t>Van Dissen et al. (1992)</t>
  </si>
  <si>
    <t>The age of the material is inferred from the oldest peats/organic material in the Long Gully Trech 2 site. Rounded C14 ages from trench to 10 ka. Stated in 1 sigma.</t>
  </si>
  <si>
    <t>Stated that there is uncertainity due the effect that vertical displacement would have on ponding. Used offsets a-a' and b-b'. Vertical SR not reported, assume SS SR equals net SR.</t>
  </si>
  <si>
    <t>~50</t>
  </si>
  <si>
    <t>~5</t>
  </si>
  <si>
    <t>Long Gully Channels</t>
  </si>
  <si>
    <t>Langridge et al. (2006)</t>
  </si>
  <si>
    <t xml:space="preserve">Age is C14 dating of oldest exposed basin-filling deposits in basin? 2 sigma calibrated age, say gives maximum SR. </t>
  </si>
  <si>
    <t>Microtopographic survey was completed, said that the dispaced end of the shutter scarp was tentatively restored to the edge of the hillslope behind the slope.Said the calibrated age gives a maximum SR not sure why, wouldn't this be a minum instead?. No vertical SR reported, assume RL SR equals net SR.</t>
  </si>
  <si>
    <t>&gt;7.65-7.50</t>
  </si>
  <si>
    <t>Shutter ridge</t>
  </si>
  <si>
    <t>46 ± 3</t>
  </si>
  <si>
    <t>&lt;6.05 (5.6-6.5)</t>
  </si>
  <si>
    <t>5.6-6.5</t>
  </si>
  <si>
    <t>&lt;5.6-6.5</t>
  </si>
  <si>
    <t>Dougan-2</t>
  </si>
  <si>
    <t>Langridge et al. (2006); Beanland (1995)</t>
  </si>
  <si>
    <t>Assumed spur was formed during a period of active erosion, and they then assume that landscape stabilisation occurred from 10-12 ka.</t>
  </si>
  <si>
    <t xml:space="preserve">Offset measurement by Beanland (1995). Later say that this Sr is a minimum. No vertical SR reported, assume RL SR equals net SR. </t>
  </si>
  <si>
    <t>c. 10-12</t>
  </si>
  <si>
    <t>Offset spur</t>
  </si>
  <si>
    <t>44 ± 4</t>
  </si>
  <si>
    <t>4.05 (3.3-4.8)</t>
  </si>
  <si>
    <t>3.3-4.8</t>
  </si>
  <si>
    <t>Beanland's Spur (B95)</t>
  </si>
  <si>
    <t>Langridge et al. (2005)</t>
  </si>
  <si>
    <t xml:space="preserve"> 3 radiocarbon dates were taken and took a 2 sigma overlap range to get age that was used for SR calculations. </t>
  </si>
  <si>
    <r>
      <t>Offset of a small channel was measured using a GPS-RTK survey, consistent with Beanland (1995). They also found an older abandoned channel with a greater offset of 50 ± 4, but did not use this for SR calculations. No vertical SR reported, but scarp height of 2</t>
    </r>
    <r>
      <rPr>
        <sz val="10"/>
        <color theme="1"/>
        <rFont val="Calibri"/>
        <family val="2"/>
      </rPr>
      <t>±1 m</t>
    </r>
    <r>
      <rPr>
        <sz val="10"/>
        <color theme="1"/>
        <rFont val="Calibri"/>
        <family val="2"/>
        <scheme val="minor"/>
      </rPr>
      <t xml:space="preserve"> was measured at the site. Assume dextral SR equals net SR.</t>
    </r>
  </si>
  <si>
    <t xml:space="preserve">C14 </t>
  </si>
  <si>
    <t>3.91-4.51</t>
  </si>
  <si>
    <t>4.2 (3.2-5.2)</t>
  </si>
  <si>
    <t>3.2-5.2</t>
  </si>
  <si>
    <t>Ebbett 1 Site</t>
  </si>
  <si>
    <t xml:space="preserve"> 5 radiocarbon dates taken from the trench, used the oldest sample for calculating SR, as they assumed this represented the deflection of the stream and formation of the scarp. This age is therefore a minimum age and SR is a maximum.2 sigma</t>
  </si>
  <si>
    <t>Stream offset was measured by Beanland (1995) and is used here. No vertical SR recorded, assume dextral SR equals net SR.</t>
  </si>
  <si>
    <t>&gt;10.5-11.16</t>
  </si>
  <si>
    <t>60 ± 5</t>
  </si>
  <si>
    <t>&lt;5.55 (4.9-6.2)</t>
  </si>
  <si>
    <t>4.9-6.2</t>
  </si>
  <si>
    <t>&lt;4.9-6.2</t>
  </si>
  <si>
    <t xml:space="preserve">Hughes 1 Site </t>
  </si>
  <si>
    <t>Radiocarbon dated an organic-rich silt interpreted to have formed from ponding during the initial offset. They assumed this age was a maximum age and thus the calculated SR is a minimum. 2 sigma</t>
  </si>
  <si>
    <t>GPS-RTK microtopographic map completed to estimate offset of stream. No vertical SR recorded, assume dextral SR equals net SR.</t>
  </si>
  <si>
    <t>&lt;8.39-8.7</t>
  </si>
  <si>
    <t>50 ± 6</t>
  </si>
  <si>
    <t>&gt;5.9 (5.1-6.7)</t>
  </si>
  <si>
    <t>5.1-6.7</t>
  </si>
  <si>
    <t>&gt;5.1-6.7</t>
  </si>
  <si>
    <t>Bennett Trench</t>
  </si>
  <si>
    <t xml:space="preserve">Wellington </t>
  </si>
  <si>
    <t>Schermer et al. (2009)</t>
  </si>
  <si>
    <t xml:space="preserve">Preferred age range used. Max age is Sample N152, OSL sample collected from  undefored footwall of thrust. Min age is OSL Sample N154 from base of massive silt. Age from base of unit 3, representing abandonment. </t>
  </si>
  <si>
    <t>Preferred estimate for thrusting duration used here. Used 97-102 m offset of fan for this. No SS SR, assume V SR equals net SR.</t>
  </si>
  <si>
    <t>19.5 ± 3.2 - 71 ± 8</t>
  </si>
  <si>
    <t>97-102</t>
  </si>
  <si>
    <t>&gt;2 (1.5-2.5)</t>
  </si>
  <si>
    <t>1.5-2.5</t>
  </si>
  <si>
    <t>&gt;1.5-2.5</t>
  </si>
  <si>
    <t>Te Mahonge Stream</t>
  </si>
  <si>
    <t>Wharekauhau Thrust</t>
  </si>
  <si>
    <t>No uncertainity, dating poorly constrained, and is only assumed the authors state that the gravel could be as old as the PE glacial age (130 ka).</t>
  </si>
  <si>
    <t>c. 80</t>
  </si>
  <si>
    <t>Fan gravel surface</t>
  </si>
  <si>
    <t>c. 0.1</t>
  </si>
  <si>
    <t>Whitemans Valley trench</t>
  </si>
  <si>
    <t>60  ± 10</t>
  </si>
  <si>
    <t>Whitemans Valley</t>
  </si>
  <si>
    <t>1.2-1.6</t>
  </si>
  <si>
    <t>Rahotu</t>
  </si>
  <si>
    <t>Oaonui</t>
  </si>
  <si>
    <t>Kina</t>
  </si>
  <si>
    <t>Ihaia</t>
  </si>
  <si>
    <t>Kiri</t>
  </si>
  <si>
    <t>Pihama</t>
  </si>
  <si>
    <t>Oaonui coastal cliff exposure</t>
  </si>
  <si>
    <t>Rahotu Fault trench</t>
  </si>
  <si>
    <t>Ihaia Fault trench</t>
  </si>
  <si>
    <t>Kina Fault trench</t>
  </si>
  <si>
    <t>Kiri Fault trench</t>
  </si>
  <si>
    <t>Pihama coastal cliff exposure</t>
  </si>
  <si>
    <t>0.1-0.13</t>
  </si>
  <si>
    <t>0.07-0.15</t>
  </si>
  <si>
    <t>0.19-0.4</t>
  </si>
  <si>
    <t>0.64-0.78</t>
  </si>
  <si>
    <t>0.42-0.71</t>
  </si>
  <si>
    <t>0.13-0.17</t>
  </si>
  <si>
    <t>Townsend et al. (2010)</t>
  </si>
  <si>
    <t>0.13 (0.1-0.16)</t>
  </si>
  <si>
    <t>0.13 (0.07-0.18)</t>
  </si>
  <si>
    <t>0.34 (0.2-0.49)</t>
  </si>
  <si>
    <t>0.81 (0.66-0.95)</t>
  </si>
  <si>
    <t>0.65 (0.43-0.87)</t>
  </si>
  <si>
    <t>0.17 (0.13-0.21)</t>
  </si>
  <si>
    <t>1.3-1.7</t>
  </si>
  <si>
    <t>1.7-3.6</t>
  </si>
  <si>
    <t>1.6-2.8</t>
  </si>
  <si>
    <t>3.2-3.8</t>
  </si>
  <si>
    <t>3.6-5</t>
  </si>
  <si>
    <t>3.7-4.5</t>
  </si>
  <si>
    <t>Offset lahar</t>
  </si>
  <si>
    <t>Offset measurement method not explicitly stated but assume RTK GPS. No age uncertainties used in SR calculations. No SS SR recorded, assume Net SR equals dips SR and calculated using CFM dip values.</t>
  </si>
  <si>
    <t>Offset measurement method not explicitly stated but assume RTK GPS. No age uncertainties given or used in SR calculations. No SS SR recorded, assume Net SR equals dips SR and calculated using CFM dip values.</t>
  </si>
  <si>
    <t>Offset measurement method not explicitly stated but assume RTK GPS. No age uncertainties given and can't reproduce maximum SR. No SS SR recorded, assume Net SR equals dips SR and calculated using CFM dip values.</t>
  </si>
  <si>
    <t>No uncertainties given. Age source not explicitly discussed but appears to be correlation.</t>
  </si>
  <si>
    <t>No uncertainties given. Age source not explicitly discussed but appears to be from one radiocarbon age. Calibrated using IntCal04.</t>
  </si>
  <si>
    <t>Snowgrass</t>
  </si>
  <si>
    <t>Hautapu Stream</t>
  </si>
  <si>
    <t>&gt;0.4</t>
  </si>
  <si>
    <t>5 ± 1.3</t>
  </si>
  <si>
    <r>
      <t>Vertical scarp height measured using altimeter. Converted to DS displacement of 5.8 ± 1.8 m using a dip of 45-75</t>
    </r>
    <r>
      <rPr>
        <sz val="10"/>
        <color theme="1"/>
        <rFont val="Calibri"/>
        <family val="2"/>
      </rPr>
      <t>°</t>
    </r>
    <r>
      <rPr>
        <sz val="10"/>
        <color theme="1"/>
        <rFont val="Calibri"/>
        <family val="2"/>
        <scheme val="minor"/>
      </rPr>
      <t>. Uncertainties propagated through calculations and inferred to be 95% confidence intervals. No evidence of SS, so assume DS=NS.</t>
    </r>
  </si>
  <si>
    <t>Age assigned based on tephra cover of inferred age.</t>
  </si>
  <si>
    <t>Shawcroft Road</t>
  </si>
  <si>
    <t>0.7 ± 0.2</t>
  </si>
  <si>
    <t>17.7 ± 0.6</t>
  </si>
  <si>
    <t>10 ± 2.5</t>
  </si>
  <si>
    <r>
      <t>Vertical scarp height measured using altimeter. Converted to DS displacement of 11.5 ± 3.4 m using a dip of 45-75</t>
    </r>
    <r>
      <rPr>
        <sz val="10"/>
        <color theme="1"/>
        <rFont val="Calibri"/>
        <family val="2"/>
      </rPr>
      <t>°</t>
    </r>
    <r>
      <rPr>
        <sz val="10"/>
        <color theme="1"/>
        <rFont val="Calibri"/>
        <family val="2"/>
        <scheme val="minor"/>
      </rPr>
      <t>. Uncertainties propagated through calculations and inferred to be 95% confidence intervals. No evidence of SS, so assume DS=NS.</t>
    </r>
  </si>
  <si>
    <t>Age assigned based from Rerewhakaaitu Tephra coverbed.</t>
  </si>
  <si>
    <t>Karioi</t>
  </si>
  <si>
    <t>Evans trenches</t>
  </si>
  <si>
    <t>9.1 ± 2.5</t>
  </si>
  <si>
    <t>26.5 ± 0.2</t>
  </si>
  <si>
    <r>
      <t>Vertical scarp height measured using altimeter and trench log. Calculated across two strands and assigned the same conversion between trench and surface offset to SE strand. Converted to DS displacement of 10.5 ± 3.3 m using a dip of 45-75</t>
    </r>
    <r>
      <rPr>
        <sz val="10"/>
        <color theme="1"/>
        <rFont val="Calibri"/>
        <family val="2"/>
      </rPr>
      <t>°</t>
    </r>
    <r>
      <rPr>
        <sz val="10"/>
        <color theme="1"/>
        <rFont val="Calibri"/>
        <family val="2"/>
        <scheme val="minor"/>
      </rPr>
      <t>. Uncertainties propagated through calculations and inferred to be 95% confidence intervals. No evidence of SS, so assume DS=NS.</t>
    </r>
  </si>
  <si>
    <t>Age assigned to Oruanui Tephra.</t>
  </si>
  <si>
    <t>Wahianoa</t>
  </si>
  <si>
    <t>Wahianoa profiles</t>
  </si>
  <si>
    <t>0.3 ± 0.2</t>
  </si>
  <si>
    <t>Lava flow</t>
  </si>
  <si>
    <r>
      <t>Vertical scarp height measured using 1:50,000 topo maps and average of throw on two profiles - 30 and 15 m. Converted to DS displacement of 23.9 ± 13 m using a dip of 45-75</t>
    </r>
    <r>
      <rPr>
        <sz val="10"/>
        <color theme="1"/>
        <rFont val="Calibri"/>
        <family val="2"/>
      </rPr>
      <t>°</t>
    </r>
    <r>
      <rPr>
        <sz val="10"/>
        <color theme="1"/>
        <rFont val="Calibri"/>
        <family val="2"/>
        <scheme val="minor"/>
      </rPr>
      <t>. Uncertainties propagated through calculations and inferred to be 95% confidence intervals. No evidence of SS, so assume DS=NS.</t>
    </r>
  </si>
  <si>
    <t>Repongaere</t>
  </si>
  <si>
    <t>Gisborne trench 1</t>
  </si>
  <si>
    <t>0.09-0.17</t>
  </si>
  <si>
    <t>1.2-2.1</t>
  </si>
  <si>
    <t>13.47-13.8</t>
  </si>
  <si>
    <t>Tephrochronology</t>
  </si>
  <si>
    <r>
      <t>Offset from minimum and maximum displacement of basement in trench. No uncertainties given for each measurement. Converted to a Dip Slip displacement of 1.3-2.3 using a 65</t>
    </r>
    <r>
      <rPr>
        <sz val="10"/>
        <color theme="1"/>
        <rFont val="Calibri"/>
        <family val="2"/>
      </rPr>
      <t>°</t>
    </r>
    <r>
      <rPr>
        <sz val="10"/>
        <color theme="1"/>
        <rFont val="Calibri"/>
        <family val="2"/>
        <scheme val="minor"/>
      </rPr>
      <t xml:space="preserve"> dip. No evidence for SS movement so assume Dip SR = Net SR..</t>
    </r>
  </si>
  <si>
    <t>Age from the oldest tephra resting on basement, identified using ferromagnesium mineralogy and electron microprobe analysis. Age defined by Waiouau age uncertainties of Lowe et al. (2008).</t>
  </si>
  <si>
    <t>Berryman et al. (2009)</t>
  </si>
  <si>
    <t>Rangipo</t>
  </si>
  <si>
    <t>Tank Track trench</t>
  </si>
  <si>
    <t>0.2 ± 0.02</t>
  </si>
  <si>
    <t>3.1 ± 0.2</t>
  </si>
  <si>
    <t>Offset tephra</t>
  </si>
  <si>
    <t>13.8 ± 0.3</t>
  </si>
  <si>
    <t>From a trench so assume is DS displacement and slip rate.</t>
  </si>
  <si>
    <t>Waiohau Tephra identified by microprobe analysis. Age from Froggatt and Lowe (1990).</t>
  </si>
  <si>
    <t>Villamor et al. (2007)</t>
  </si>
  <si>
    <t>Rangipo North</t>
  </si>
  <si>
    <t>Rangipo Central</t>
  </si>
  <si>
    <t>Profiles A-A' and B-B'</t>
  </si>
  <si>
    <t>26 ± 7</t>
  </si>
  <si>
    <t>Offset surface</t>
  </si>
  <si>
    <t>21.45 ± 4.85</t>
  </si>
  <si>
    <r>
      <t>Offset from differential GPS profile and microtopography survey. V SR converted to Dip SR using dip of 50-70</t>
    </r>
    <r>
      <rPr>
        <sz val="10"/>
        <color theme="1"/>
        <rFont val="Calibri"/>
        <family val="2"/>
      </rPr>
      <t>°</t>
    </r>
    <r>
      <rPr>
        <sz val="10"/>
        <color theme="1"/>
        <rFont val="Calibri"/>
        <family val="2"/>
        <scheme val="minor"/>
      </rPr>
      <t>.</t>
    </r>
  </si>
  <si>
    <t>SH1 road cutting</t>
  </si>
  <si>
    <t>1.5 ± 0.9</t>
  </si>
  <si>
    <t>225 ± 25</t>
  </si>
  <si>
    <t>Tertiary/pyroclastic contact</t>
  </si>
  <si>
    <t>144 ± 79</t>
  </si>
  <si>
    <t>From a profile constructed using geology maps and geophysical data. Offset reported as a DS offset.</t>
  </si>
  <si>
    <t>Age inferred between oldest known Ruapehu lava flows (Gamble et al. 2003) and minimum Porewan age.</t>
  </si>
  <si>
    <t>Villamor and Berryman (2006)</t>
  </si>
  <si>
    <t>Horohoro</t>
  </si>
  <si>
    <t>Horohoro trench 1</t>
  </si>
  <si>
    <t>Horohoro trench 2</t>
  </si>
  <si>
    <t>&lt; c. 0.14-0.2</t>
  </si>
  <si>
    <t>4.4 ± 0.8</t>
  </si>
  <si>
    <t>Gravel tephra contact</t>
  </si>
  <si>
    <t>25-27</t>
  </si>
  <si>
    <t>Age from oldest tephra overlying gravel unit identified by Ian Nairn.</t>
  </si>
  <si>
    <t>Age from oldest tephra overlying gravel unit identified by Ian Nairn. No age uncertainty given.</t>
  </si>
  <si>
    <t>Zachariasen and Van Dissen (2001)</t>
  </si>
  <si>
    <t>&lt;0.2 (0.15-0.26)</t>
  </si>
  <si>
    <t>Offset measurement method not stated, but presume calculated from trench logs. Stated as a maximum rate but no reason given. Converted to Dip SR using CFM dip and assume = net SR.</t>
  </si>
  <si>
    <t>0.16 (0.13-0.19)</t>
  </si>
  <si>
    <t>Offset measurement method not stated, but presume calculated from trench logs. No uncertainties given so assigned ±0.5 m to offset and ±100 years to age. Converted to Dip SR using CFM dip and assume = net SR.</t>
  </si>
  <si>
    <t>Hull (1994, 1996)</t>
  </si>
  <si>
    <t>Inglewood</t>
  </si>
  <si>
    <t>Hull, A.G. 1996 Earthquake and volcanic hazards in Taranaki : potential threats to oil and gas production and distribution infrastructure. p. 261-271 IN: 1996 New Zealand Petroleum Conference : proceedings : confronting the issues 1996 : an international perspective. Wellington: Ministry of Commerce</t>
  </si>
  <si>
    <t>Everett Park trench</t>
  </si>
  <si>
    <t>Egmont Road trench 2</t>
  </si>
  <si>
    <t>0.27 (0.2-0.35)</t>
  </si>
  <si>
    <t>Tephra on lahar</t>
  </si>
  <si>
    <t>12.9 ± 0.2</t>
  </si>
  <si>
    <t>0.25 (0.19-0.33)</t>
  </si>
  <si>
    <t>SR quoted by Hull (1996) but values not given. Measured 2.8 m on trench log in Hull (1994) and assigned offset uncertainty of ±0.5 m. Converted to Dip SR using CFM dip and no evidence of SS so assume Dip SR = net SR.</t>
  </si>
  <si>
    <t>SR quoted by Hull (1996) but values not given. Measured 3 m on trench log in Hull (1994) and assigned offset uncertainty of ±0.5 m. Converted to Dip SR using CFM dip and no evidence of SS so assume Dip SR = net SR.</t>
  </si>
  <si>
    <t>Age from oldest tephra on lahars inferred to be Korito tephra and age from Alloway et al. (1992)</t>
  </si>
  <si>
    <t>Tonga 15</t>
  </si>
  <si>
    <t>Tonga 23</t>
  </si>
  <si>
    <t>Tonga 24</t>
  </si>
  <si>
    <t>160 ± 20</t>
  </si>
  <si>
    <t>110 ± 20</t>
  </si>
  <si>
    <t>180 ± 20</t>
  </si>
  <si>
    <t>100 ± 20</t>
  </si>
  <si>
    <t>Beanland, S. 1995 The North Island dextral fault belt. PhD (Geology) thesis, Victoria University of Wellington</t>
  </si>
  <si>
    <t>Carne, R. C., Little, T. A., &amp; Rieser, U. (2011). Using displaced river terraces to determine Late Quaternary slip rate for the central Wairarapa Fault at Waiohine River, New Zealand. New Zealand Journal of Geology and Geophysics, 54(2), 217-236. doi:10.1080/00288306.2010.532224</t>
  </si>
  <si>
    <t>Fraser, J.G.; Nicol, A.; Pettinga, J.R.; Johnston, M.R. 2006 Paleoearthquake investigation of the Waimea-Flaxmore fault system, Nelson, New Zealand. p. 59-67 IN: Earthquakes and urban development : New Zealand Geotechnical Society 2006 Symposium, Nelson, February 2006. Wellington: Institution of Professional Engineers. Proceedings of technical groups (Institution of Professional Engineers New Zealand) 31(1)</t>
  </si>
  <si>
    <t>Kieckhefer, R.M. 1979 Sheets M31D, N31A, N31C and parts M32A and M32B, Leader Dale, Sheets N31B and N31D, Dillon, Sheets O30C and O31A, Lake McRae. Wellington, N.Z.: Department of Scientific and Industrial Research. Late Quaternary tectonic map of New Zealand 1:50,000. 3 maps + 1 booklet</t>
  </si>
  <si>
    <t>Townsend, D.B.; Begg, J.G.; Villamor, P.; Lukovic, B. 2002 Late Quaternary displacement of the Mokonui Fault, Wairarapa, New Zealand: A preliminary assessment of earthquake generating potential. Institute of Geological &amp; Nuclear Sciences client report 2002/58. 30 p. - + 2 maps in pocket</t>
  </si>
  <si>
    <t>Langridge, R.M.; Villamor, P.; Townsend, D.B. 2006 Paleoseismicity of the Wellington Fault at Putara : implications for fault segmentation and earthquake timing. Institute of Geological &amp; Nuclear Sciences client report 2005/116. iv, [66] p., figs, maps</t>
  </si>
  <si>
    <t>Little, T.A.; Grapes, R.; Berger, G.W. 1998 Late Quaternary strike slip on the eastern part of the Awatere fault, South Island, New Zealand. Geological Society of America Bulletin, 110(2): 127-148</t>
  </si>
  <si>
    <t>Lamb, S.H.; Vella, P. 1987 The last million years of deformation in part of the New Zealand plate-boundary zone. Journal of Structural Geology, 9(7): 877-891</t>
  </si>
  <si>
    <t>Vella, P.; Vucetich, C.G.; McLea, W.L.; Warnes, P.N. 1994 Rate of vertical displacement, Huangarua Fault, Wairarapa : report from Mana U3A geology group. Newsletter / Geological Society of New Zealand, 103: 29-30</t>
  </si>
  <si>
    <t>Palmer, A.; Van Dissen, R.J. 2002 Northern Ohariu Fault : earthquake hazard assessment of a newly discovered active strike-slip fault in Horowhenua. Wellington: Earthquake Commission Research Foundation. 52 p</t>
  </si>
  <si>
    <t>Schermer, E.R.; Van Dissen, R.J.; Berryman, K.R.; Kelsey, H.M.; Cashman, S.M. 2004 Active faults, paleoseismology, and historical fault rupture in northern Wairarapa, North Island, New Zealand. New Zealand Journal of Geology and Geophysics, 47(1): 101-122</t>
  </si>
  <si>
    <t>Litchfield, N.J.; Lian, O.B. 2004 Luminescence age estimates of Pleistocene marine terrace and alluvial fan sediments associated with tectonic activity along coastal Otago, New Zealand. New Zealand Journal of Geology and Geophysics, 47(1): 29-37</t>
  </si>
  <si>
    <t>Van Dissen, R.J.; Berryman, K.R. 1996 Surface rupture earthquakes over the last ~1000 years in the Wellington region, New Zealand, and implications for ground shaking hazard. Journal of Geophysical Research. Solid Earth, 101(B3): 5999-6019</t>
  </si>
  <si>
    <t>Miyoshi, M.; Heron, D.W.; Berryman, K.R. 1987 Active faults and associated hazards in the Pauatahanui-Waikanae area, northwest Wellington. 39 p., figs, maps</t>
  </si>
  <si>
    <t>Berryman, K.R. 1990 Late Quaternary movement on the Wellington Fault in the Upper Hutt area, New Zealand. New Zealand Journal of Geology and Geophysics, 33(2): 257-270</t>
  </si>
  <si>
    <t>Van Dissen, R.J.; Begg, J.G.; Robinson, R. 2001 The Akatarawa Fault : a newly discovered active fault in the Wellington region, and implications for increased hazard on the Wellington fault. 8 p. IN: New Zealand Society for Earthquake Engineering Inc Technical Conference and AGM, Wairakei Resort Hotel Friday/Sunday 23-25 March 2001 : Conference technical papers. Upper Hutt: New Zealand Society of Earthquake Engineering</t>
  </si>
  <si>
    <t>Zachariasen, J.; Villamor, P.; Lee, J.M.; Lukovic, B.; Begg, J.G. 2000 Late Quaternary faulting of the Masterton and Carterton faults, Wairarapa, New Zealand. Institute of Geological &amp; Nuclear Sciences client report 2000/71. 36 p</t>
  </si>
  <si>
    <t>Begg, J.G.; Villamor, P.; Zachariasen, J.; Litchfield, N.J. 2001 Paleoseismic assessment of the active Masterton and Carterton faults, Wairarapa. Institute of Geological &amp; Nuclear Sciences client report 2001/70. 32 p</t>
  </si>
  <si>
    <t>Kirkliston</t>
  </si>
  <si>
    <t>T07/2 Cleaves</t>
  </si>
  <si>
    <t>0.18 (0.13-0.18)</t>
  </si>
  <si>
    <t>6.5-7.5</t>
  </si>
  <si>
    <t>65.3-77.5</t>
  </si>
  <si>
    <r>
      <t>Offset measured from trench log. Vert offset converted to dip-slip offset using a dip of 40</t>
    </r>
    <r>
      <rPr>
        <sz val="10"/>
        <color theme="1"/>
        <rFont val="Calibri"/>
        <family val="2"/>
      </rPr>
      <t>°</t>
    </r>
    <r>
      <rPr>
        <sz val="10"/>
        <color theme="1"/>
        <rFont val="Calibri"/>
        <family val="2"/>
        <scheme val="minor"/>
      </rPr>
      <t>. Preferred offset is the maximum value.</t>
    </r>
  </si>
  <si>
    <t>Profile 1 Padkins</t>
  </si>
  <si>
    <t>&lt;0.05</t>
  </si>
  <si>
    <t>50 ± 10</t>
  </si>
  <si>
    <t>&lt;0.06</t>
  </si>
  <si>
    <t>&gt;82.5</t>
  </si>
  <si>
    <t>Offset estimated from a topographic profile, trench information and assumption that the depositional slope is the same as the deformed gravel. Converted to a dip SR using CFM dip and assume = Net SR.</t>
  </si>
  <si>
    <t>Constrained using 1 OSL age but consistent with overlying OSL ages and 1 C14 age. 1 sigma uncertainties.</t>
  </si>
  <si>
    <t>Constrained using 1 OSL age but consistent with overlying ages. 1 sigma uncertainties.</t>
  </si>
  <si>
    <t>Barrell et al. (2008)</t>
  </si>
  <si>
    <t>Barrell, D.J.A.; Van Dissen, R.J.; Langridge, R.M.; Cox, S.C.; Wilson, K.J.; Rieser, U.; Lukovic, B. 2008 Seismic loads on dams : Waitaki system - Kirkliston Fault displacement characterisation. GNS Science consultancy report 2007/146. 1 v</t>
  </si>
  <si>
    <t>Blue Mountain</t>
  </si>
  <si>
    <t>BMF 1</t>
  </si>
  <si>
    <t>BMF 2</t>
  </si>
  <si>
    <t>BMF 4</t>
  </si>
  <si>
    <t>BMF 8</t>
  </si>
  <si>
    <t>BMF 9</t>
  </si>
  <si>
    <t>Spylaw</t>
  </si>
  <si>
    <t>Spy 1</t>
  </si>
  <si>
    <t>Spy 3</t>
  </si>
  <si>
    <t>Spy 4</t>
  </si>
  <si>
    <t>Spy 8</t>
  </si>
  <si>
    <t>Chose oldest riser rate as a solid long-term rate</t>
  </si>
  <si>
    <t>0.1-0.2</t>
  </si>
  <si>
    <t>0.2-0.3</t>
  </si>
  <si>
    <t>Pace et al. (2005)</t>
  </si>
  <si>
    <t>0.21 (0.11-0.31)</t>
  </si>
  <si>
    <t>0.28 (0.21-0.42)</t>
  </si>
  <si>
    <t>0.35 (0.21-0.47)</t>
  </si>
  <si>
    <t>3-7</t>
  </si>
  <si>
    <t>5-8</t>
  </si>
  <si>
    <t>39.2 ± 3.4</t>
  </si>
  <si>
    <t>Scarp height measurement method not stated and assume is estimated. Convert V SR to dip SR using CFM dip values.</t>
  </si>
  <si>
    <t>Scarp height measurement method not stated and assume is estimated. No uncertainty given. Convert V SR to dip SR using CFM dip values and assume a V SR uncertainty of ±0.1.</t>
  </si>
  <si>
    <t>Correlated to a surface beneath which a single OSL age was obtained.</t>
  </si>
  <si>
    <t>c. 0.2</t>
  </si>
  <si>
    <t>c. 20</t>
  </si>
  <si>
    <t>c. 15</t>
  </si>
  <si>
    <t>98.5 ± 10.3</t>
  </si>
  <si>
    <t>7.31 ± 1</t>
  </si>
  <si>
    <t>0.14 (0.05-0.31)</t>
  </si>
  <si>
    <t>0.28 (0.11-0.47)</t>
  </si>
  <si>
    <t>Scarp height measurement method not stated and assume is estimated. Convert V SR to dip SR using CFM dip values. Inferred V SR min and max 0.05 and 0.2 mm/yr.</t>
  </si>
  <si>
    <t>Scarp height measurement method not stated and assume is estimated. Convert V SR to dip SR using CFM dip values. Inferred V SR min and max 0.1 and 0.2 mm/yr.</t>
  </si>
  <si>
    <t>Lens</t>
  </si>
  <si>
    <t>Van Dissen, R.J.; Barrell, D.J.A.; Langridge, R.M.; Litchfield, N.J.; Villamor, P.; Tonkin, P. 2007 Reassessment of seismic hazard at Clyde Dam, Central Otago : Earthquake geology field investigations and determination of Dunstan Fault rupture characteristics. GNS Science consultancy report 2006/147. 2 vols</t>
  </si>
  <si>
    <t>Dunstan</t>
  </si>
  <si>
    <t>Devonshire fan profile</t>
  </si>
  <si>
    <t>NS</t>
  </si>
  <si>
    <t>19 ± 4</t>
  </si>
  <si>
    <t>55 (30-75)</t>
  </si>
  <si>
    <r>
      <t>Offset measured from RTK profile across multiple strands and trenches. Uncertainty inferred to reflect fan morphology. V SR converted by Van Dissen et al. (2007) to a net SR using a dip of 30</t>
    </r>
    <r>
      <rPr>
        <sz val="10"/>
        <rFont val="Calibri"/>
        <family val="2"/>
      </rPr>
      <t>°</t>
    </r>
    <r>
      <rPr>
        <sz val="10"/>
        <rFont val="Calibri"/>
        <family val="2"/>
        <scheme val="minor"/>
      </rPr>
      <t xml:space="preserve"> (20-45).</t>
    </r>
  </si>
  <si>
    <t>From 6 OSL ages, reported with 1 sigma uncertainties. Consistent with 1 C14 age.</t>
  </si>
  <si>
    <t>Van Dissen et al. (2007)</t>
  </si>
  <si>
    <t>Barrell, D.J.A.; Van Dissen, R.J.; Berryman, K.R.; Read, S.A.L.; Wood, P.R.; Zachariasen, J.; Lukovic, B.; Nicol, A.; Litchfield, N.J. 2002 Seismic loads on dams : Waitaki system, Aviemore Power Station, Geological investigations for fault displacement characterisation, main report. Institute of Geological &amp; Nuclear Sciences client report 2001/125. 2 volumes. v.1: 99 p. + figs and photos; v.2: appendices A-E</t>
  </si>
  <si>
    <t>Waitangi</t>
  </si>
  <si>
    <t>Trench T99/5</t>
  </si>
  <si>
    <t>0.1-0.37</t>
  </si>
  <si>
    <t>2-6.3</t>
  </si>
  <si>
    <t>Bedrock strath</t>
  </si>
  <si>
    <t>19-21</t>
  </si>
  <si>
    <t>Age from one OSL age. Max rate uses minimum of 2 sigma age range and min rate usese mean age.</t>
  </si>
  <si>
    <t>Barrell et al. (2002)</t>
  </si>
  <si>
    <t>Trench T00/3</t>
  </si>
  <si>
    <t>Trench T00/1</t>
  </si>
  <si>
    <t>0.09-0.24</t>
  </si>
  <si>
    <t>0.07-0.3</t>
  </si>
  <si>
    <t>1.5-3.5</t>
  </si>
  <si>
    <t>13-21</t>
  </si>
  <si>
    <t>2-4.5</t>
  </si>
  <si>
    <t>19-23</t>
  </si>
  <si>
    <t xml:space="preserve">Offset from trench logs and minimum and maximum offset of bedrock strath. </t>
  </si>
  <si>
    <t>Minimum age from 4 OSL ages. Maximum age from mean of 1 OSL age.</t>
  </si>
  <si>
    <t>Age from one OSL age and min and max ages from 2 sigma uncertainties.</t>
  </si>
  <si>
    <t>&gt;0.18 (0.09-0.28)</t>
  </si>
  <si>
    <t>Trench T01/1 Pinetrees</t>
  </si>
  <si>
    <t>0.09-0.3</t>
  </si>
  <si>
    <t>1.5-4</t>
  </si>
  <si>
    <t>18.4-23</t>
  </si>
  <si>
    <r>
      <t xml:space="preserve">Offset from trench logs and minimum and maximum offset of bedrock strath. Barrell et al. (2002) convert V SR to a net SR using a dip of </t>
    </r>
    <r>
      <rPr>
        <sz val="10"/>
        <color theme="1"/>
        <rFont val="Calibri"/>
        <family val="2"/>
      </rPr>
      <t>≥</t>
    </r>
    <r>
      <rPr>
        <sz val="9"/>
        <color theme="1"/>
        <rFont val="Calibri"/>
        <family val="2"/>
      </rPr>
      <t>70° and H:V ratio of 1:3 to 1:4</t>
    </r>
    <r>
      <rPr>
        <sz val="8.1"/>
        <color theme="1"/>
        <rFont val="Calibri"/>
        <family val="2"/>
      </rPr>
      <t xml:space="preserve">. </t>
    </r>
  </si>
  <si>
    <r>
      <t xml:space="preserve">Offset from trench logs and minimum and maximum offset of bedrock strath. Barrell et al. (2002) convert V SR to a net SR using a dip of </t>
    </r>
    <r>
      <rPr>
        <sz val="10"/>
        <color theme="1"/>
        <rFont val="Calibri"/>
        <family val="2"/>
      </rPr>
      <t>≥</t>
    </r>
    <r>
      <rPr>
        <sz val="9"/>
        <color theme="1"/>
        <rFont val="Calibri"/>
        <family val="2"/>
      </rPr>
      <t>80° and a H:V ratio of 1:4</t>
    </r>
    <r>
      <rPr>
        <sz val="8.1"/>
        <color theme="1"/>
        <rFont val="Calibri"/>
        <family val="2"/>
      </rPr>
      <t xml:space="preserve">. </t>
    </r>
  </si>
  <si>
    <r>
      <t xml:space="preserve">Offset from trench logs and minimum and maximum offset of bedrock strath. Barrell et al. (2002) convert V SR to a net SR using a dip of </t>
    </r>
    <r>
      <rPr>
        <sz val="10"/>
        <color theme="1"/>
        <rFont val="Calibri"/>
        <family val="2"/>
      </rPr>
      <t>75</t>
    </r>
    <r>
      <rPr>
        <sz val="9"/>
        <color theme="1"/>
        <rFont val="Calibri"/>
        <family val="2"/>
      </rPr>
      <t>° and a H:V ratio of 1:1</t>
    </r>
    <r>
      <rPr>
        <sz val="8.1"/>
        <color theme="1"/>
        <rFont val="Calibri"/>
        <family val="2"/>
      </rPr>
      <t xml:space="preserve">. </t>
    </r>
  </si>
  <si>
    <t>Minimum age from minimum age of 2 sigma range of 1 OSL age. Maximum age from composite age from OSL ages in T99/5, T00/3 and T00/2.</t>
  </si>
  <si>
    <t>Fern Gully</t>
  </si>
  <si>
    <t>75 ± 15</t>
  </si>
  <si>
    <t>60 ± 20</t>
  </si>
  <si>
    <t>T99/9 Banks Stream</t>
  </si>
  <si>
    <t>LL</t>
  </si>
  <si>
    <t>0.55 (0.4-0.7)</t>
  </si>
  <si>
    <t>13.2-16</t>
  </si>
  <si>
    <t>Preferred age from 3 OSL ages using different techniques on one sample.</t>
  </si>
  <si>
    <t>LL
V</t>
  </si>
  <si>
    <t>8 ± 2
1</t>
  </si>
  <si>
    <t>Offset from GPS and tape measure. Converted to a net slip rate including the vertical offset of 1 m, assuming an uncertainty of ±0.5 m and using the CFM dip.</t>
  </si>
  <si>
    <t>Awahokomo</t>
  </si>
  <si>
    <t>wc4 profile</t>
  </si>
  <si>
    <t>0.2-0.6</t>
  </si>
  <si>
    <t>&gt;0.41 (0.2-0.69)</t>
  </si>
  <si>
    <t>7-9</t>
  </si>
  <si>
    <t>14-30</t>
  </si>
  <si>
    <t>Vertical offset measured from RTK-GPS profile. Converted to a dip slip rate using CFM dip. Likely strike-slip component, so consider a minimum.</t>
  </si>
  <si>
    <t>Inferred age based on one OSL age from trench T99/6, relative position in alluvial fan surfaces.</t>
  </si>
  <si>
    <t>Lees Valley</t>
  </si>
  <si>
    <t>Dalzell trench</t>
  </si>
  <si>
    <t>Dalzell trench site profile</t>
  </si>
  <si>
    <t>50 ± 15</t>
  </si>
  <si>
    <t>&gt;0.08</t>
  </si>
  <si>
    <t>Gore (2015)</t>
  </si>
  <si>
    <t>0.86 ± 0.01</t>
  </si>
  <si>
    <t>21.6 ± 2.3</t>
  </si>
  <si>
    <t>Offsets measured on 3 faults in trench and assumed to be DS. Minimum offset because doesn't take into account of folding. SR uncertainty calculated from reported offset and age uncertainties.</t>
  </si>
  <si>
    <t>&gt;0.08 (0.07-0.09)</t>
  </si>
  <si>
    <t>Average of three OSL ages from faulted deposits in the trench. Unclear if uncertainty 1 or 2 sigma - possibly 2.</t>
  </si>
  <si>
    <t>Offset measured from RTK-GPS profile. No uncertainties given. Converted to Dip SR using assigned offset uncertainty of ±0.5 m and CFM dip. No reported evidence of SS, so assume Dip SR = net SR.</t>
  </si>
  <si>
    <t>Esk</t>
  </si>
  <si>
    <t>9.5 ± 0.6</t>
  </si>
  <si>
    <t>30.5 ± 2.2</t>
  </si>
  <si>
    <t>Noble (2011)</t>
  </si>
  <si>
    <t>0.31 ± 0.06</t>
  </si>
  <si>
    <t>Offset measured using differential GPS and uncertainty includes modification of terrace tread. Noble (2011) converts the V SR to a net SR of 0.68 ± 0.07 mm/yr using a H:V ratio of 0.6. Converted to a dip SR here using CFM dip and assumed to be a minimum because no RL slip data from this site.</t>
  </si>
  <si>
    <t>OSL age from sand within offset terrace. Uncertainty assumed to be 1 sigma.</t>
  </si>
  <si>
    <t>Waitohi River terraces</t>
  </si>
  <si>
    <t>13.5 ± 1.5</t>
  </si>
  <si>
    <t>0.25 ± 0.05</t>
  </si>
  <si>
    <t>Gola Peaks section</t>
  </si>
  <si>
    <t>Offset measured using laser range finder. Converted to a dip SR using CFM dip and assumed to be a minimum because no RL slip data from this site.</t>
  </si>
  <si>
    <t>Mt Noble</t>
  </si>
  <si>
    <t>0.82 ± 0.06</t>
  </si>
  <si>
    <t>23.7 ± 3.2</t>
  </si>
  <si>
    <t>Ridge and channel</t>
  </si>
  <si>
    <t>&gt;0.82 (0.76-0.88)</t>
  </si>
  <si>
    <t>Offset measured from a differential GPS micro-topographic map. A V offset of 5.3 ± 2.1 is given but unclear if directlty measured or calculated. So assume RL SR is a minimum rate.</t>
  </si>
  <si>
    <t>Age inferred from Waitohi River OSL terrace age and assumed that offset is the product of same number of events (5).</t>
  </si>
  <si>
    <t>OSL age from sand within offset terrace. Considered to be a maximum age. Uncertainty assumed to be 1 sigma.</t>
  </si>
  <si>
    <t>&lt;56 ± 4.4</t>
  </si>
  <si>
    <t>Stonewall</t>
  </si>
  <si>
    <t>Trench T04/1</t>
  </si>
  <si>
    <t>Barrell, D.J.A.; Langridge, R.M.; Berryman, K.R.; Lukovic, B. 2004 Seismic loads on dams - Waitaki system : Dryburgh - Stonewall fault displacement characterisation. Institute of Geological &amp; Nuclear Sciences client report 2004/56. 47 p. - plus maps and figures [Client/Consultancy]</t>
  </si>
  <si>
    <t>0.02-0.14</t>
  </si>
  <si>
    <t>15.8-46</t>
  </si>
  <si>
    <t>Vertical offset from displacement of units in trench in the last event. No uncertainties given for offset. Reported as a "ballpark estimate". Converted to a Dip SR using CFM dip and inferring offset uncertainty of ±0.1 m. Equivocal evidence for strike slip so follow Barrell et al. in inferring Dip SR = Net SR.</t>
  </si>
  <si>
    <t xml:space="preserve">From two OSL ages bounding the last event. Ages from smaller and larger bound uncertainties and assume is 1 sigma. </t>
  </si>
  <si>
    <t>Barrell et al. (2004)</t>
  </si>
  <si>
    <t>0.03 (0.02-0.07)</t>
  </si>
  <si>
    <t>Carroll trench</t>
  </si>
  <si>
    <t>Langridge et al. (2018)</t>
  </si>
  <si>
    <t>Gisborne trench 2</t>
  </si>
  <si>
    <t>≥2</t>
  </si>
  <si>
    <t>Inferred to be during early part of Waimhia Tephra eruption. Age from Lowe et al. (2008), 2 sigma uncertainties.</t>
  </si>
  <si>
    <t>1706-1823 AD</t>
  </si>
  <si>
    <t>3410 ± 40 cal. yr BP</t>
  </si>
  <si>
    <t>Between the Waiohau and Whakatane Tephras. Ages from Lowe et al. (2008), 2 sigma uncertainties.</t>
  </si>
  <si>
    <t>13,600-5500 cal. yr BP</t>
  </si>
  <si>
    <t>13,600-3400 cal. yr BP</t>
  </si>
  <si>
    <t>Between the Waiohau and Waimihia Tephras. Ages from Lowe et al. (2008), 2 sigma uncertainties.</t>
  </si>
  <si>
    <t>From at least 2 events since 13,800 cal. yr BP.</t>
  </si>
  <si>
    <t>≤4490-6900</t>
  </si>
  <si>
    <t>N/A</t>
  </si>
  <si>
    <t>0.4-1.1</t>
  </si>
  <si>
    <t>Tephra layers</t>
  </si>
  <si>
    <t>Measured in trench. From two or more events.</t>
  </si>
  <si>
    <t>Hapuku River Boulder Bar</t>
  </si>
  <si>
    <t>2.0 ± 0.4
1.4 ± 0.2</t>
  </si>
  <si>
    <t>2.5 (2.0-2.9)</t>
  </si>
  <si>
    <t>12.6 ± 0.5
8.5 ± 0.3</t>
  </si>
  <si>
    <t>Boulder bar</t>
  </si>
  <si>
    <t>6.29 ± 0.95</t>
  </si>
  <si>
    <t>Weathering-rind</t>
  </si>
  <si>
    <t>Calculated dips SR using CFM dip. Calculated Net SR using caluclated Dip SR and reported SS SR. Offset of one of strands is measured.</t>
  </si>
  <si>
    <t>From Knuepfer (1984, 1988)</t>
  </si>
  <si>
    <t>Knuepfer (1984); Van Dissen (1989)</t>
  </si>
  <si>
    <t>Hapuka River T2</t>
  </si>
  <si>
    <t>4.8 ± 2.7
1.7 ± 0.4</t>
  </si>
  <si>
    <t>5.1 (2.5-7.8)</t>
  </si>
  <si>
    <t>30 ± 10
10-12</t>
  </si>
  <si>
    <t>Age is from Knuepfer (1984, 1988)</t>
  </si>
  <si>
    <t>&gt;28 ± 8</t>
  </si>
  <si>
    <t>&gt;28 (20-36)</t>
  </si>
  <si>
    <t>78 ± 2</t>
  </si>
  <si>
    <t>No vert SR reported, assume Net SR equals dextral SR</t>
  </si>
  <si>
    <t>Modal weathering-rind age from Knuepfer (1988)</t>
  </si>
  <si>
    <t>Sawyers  T3</t>
  </si>
  <si>
    <t>33 ± 13
2.4 ± 0.6</t>
  </si>
  <si>
    <t>Use CFM dip to calculate dip SR and Net SR. Can't reproduce offset</t>
  </si>
  <si>
    <t>Goldmine Creek Fan</t>
  </si>
  <si>
    <t>16 ± 5</t>
  </si>
  <si>
    <t>&gt; 16 (11-21)</t>
  </si>
  <si>
    <t>&lt;14 ± 2</t>
  </si>
  <si>
    <t>From this study</t>
  </si>
  <si>
    <t>Waimangarara River T1</t>
  </si>
  <si>
    <t>&gt;1.3 (1.1-1.6)</t>
  </si>
  <si>
    <t>Converted to Dips SR using CFM dip. No SS SR reported, assume Net SR equals Vert SR</t>
  </si>
  <si>
    <t>Kekerengu</t>
  </si>
  <si>
    <t>Kekerengu 1</t>
  </si>
  <si>
    <t>Winterholme/Kulnine Riser</t>
  </si>
  <si>
    <t>&lt;18-26</t>
  </si>
  <si>
    <t>18-26</t>
  </si>
  <si>
    <t>&gt;22 (18-26)</t>
  </si>
  <si>
    <t>~&lt;600 ± 50</t>
  </si>
  <si>
    <t>~25-30</t>
  </si>
  <si>
    <t>Distance between riser and source (Glencoe Stream). Due to subsequent trimming of the riser in Winterholme terrace, offset measured is considered a maximum an dthus SR is also a maximum. No vert SR reported, assume net SR equals RL SR.</t>
  </si>
  <si>
    <t>Riser cut in Kulnine degradation, prior to onset of extensive Winterholme aggradation, during `25-30.</t>
  </si>
  <si>
    <t>Van Dissen et al. (2016); Van Dissen et al. (2005)</t>
  </si>
  <si>
    <t>Kulnine Channel</t>
  </si>
  <si>
    <t>~20-36</t>
  </si>
  <si>
    <t>~800 ± 100</t>
  </si>
  <si>
    <t>~25-34</t>
  </si>
  <si>
    <t>Beheaded channel on Kulnine surface. No vert SR reported, assume net SR equals RL SR.</t>
  </si>
  <si>
    <t>Age is inferred abandonment of Kulnine Channel.</t>
  </si>
  <si>
    <t>McLean Stream T4</t>
  </si>
  <si>
    <t>7.3 (+2.7/-2.4)
1.2 (+1.0/-0.2)</t>
  </si>
  <si>
    <t>7.4 (5.0-10.4)</t>
  </si>
  <si>
    <t>11.2 ± 3
1.8 ± 0.1</t>
  </si>
  <si>
    <t>1.54 ± 0.12</t>
  </si>
  <si>
    <t>Cauclated Dip SR using CFM dip. Net SR calculated using calculated Dip SR and reported SS SR.</t>
  </si>
  <si>
    <t>Age from Knuepfer (1988)</t>
  </si>
  <si>
    <t>McLean Stream T5</t>
  </si>
  <si>
    <t>5.7 (+2.6/-2.2)</t>
  </si>
  <si>
    <t>&gt;5.7 (3.3-8.3)</t>
  </si>
  <si>
    <t>5.6 ± 2</t>
  </si>
  <si>
    <t>0.98 ± 0.06</t>
  </si>
  <si>
    <t>No vert SR reported assume Net SR equals SR SS.</t>
  </si>
  <si>
    <t>London Hill</t>
  </si>
  <si>
    <t>2000-3000</t>
  </si>
  <si>
    <t>&lt;5000</t>
  </si>
  <si>
    <t>Reported is dip slip rate, therefore did not convert, not sure what dip is used. No SS SR reported, assume Net SR equals Vert SR.</t>
  </si>
  <si>
    <t>Age constrained stratigraphically to Pliocene (&lt;5 Ma)</t>
  </si>
  <si>
    <t>Papatea</t>
  </si>
  <si>
    <t>Middle Hill Station Hol. Terrace</t>
  </si>
  <si>
    <t>~1-2</t>
  </si>
  <si>
    <t>&gt;1.9 (1.4-2.6)</t>
  </si>
  <si>
    <t>18  ± 2</t>
  </si>
  <si>
    <t>~10-12</t>
  </si>
  <si>
    <t xml:space="preserve">Reported SR is dip SR. Current height of elevated alluvial trrace on HW of scarp above current fill terrace on FW side, using preearthquake LiDAR. Reported SR is vert SR for both terraces. Calculated a dips SR assuming an average age of 11 ka and using CFM dip. No SS SR reported, assume calculated Dips SR SR equals net SR. </t>
  </si>
  <si>
    <t>Inferred to be early Holocene terraces. Not matched up across fault</t>
  </si>
  <si>
    <t>Middle Hill Station LGM Terrace</t>
  </si>
  <si>
    <t>&gt;2.1 (1.7-2.8)</t>
  </si>
  <si>
    <t>~30 ± 2</t>
  </si>
  <si>
    <t>~15-18</t>
  </si>
  <si>
    <t xml:space="preserve">Current height of elevated alluvial trrace on HW of scarp above current fill terrace on FW side, using preearthquake LiDAR. Reported SR is vert SR for both terraces. Calculated a dips SR assuming an average age of 16.5 ka and using CFM dip. No SS SR reported, assume calculated Dips SR SR equals net SR.  </t>
  </si>
  <si>
    <t>Inferred to be the Last Glaciation terraces. Not matched up across fault</t>
  </si>
  <si>
    <t>Wharekauhau</t>
  </si>
  <si>
    <t>70 ± 20</t>
  </si>
  <si>
    <t>1.5 (1-2)</t>
  </si>
  <si>
    <t>SR from Kaikoura SHM and part of a SR balance with Hope F</t>
  </si>
  <si>
    <t>4 (3-5)</t>
  </si>
  <si>
    <t>From Hapuka R T2 site and partitioned onto this fault and KaikouraMS05</t>
  </si>
  <si>
    <t>Oldest offset (D) Hossack Station as a solid long-term rate</t>
  </si>
  <si>
    <t>≥42.9 (34.4-54.2)</t>
  </si>
  <si>
    <t>2.3 (1.2-4.8)</t>
  </si>
  <si>
    <t>14.2 (10.9-17.5)</t>
  </si>
  <si>
    <t>14.9 (1.9-17.9)</t>
  </si>
  <si>
    <t>&gt;9.4 (8.4-10.4)</t>
  </si>
  <si>
    <t>&lt;12 (10.6-13.4)</t>
  </si>
  <si>
    <t>&lt;9.3 (6.5-12)</t>
  </si>
  <si>
    <t>14.3 (8.7-35.7)</t>
  </si>
  <si>
    <t>10.5 (10-11)</t>
  </si>
  <si>
    <t>10.9 (8.4-13.4)</t>
  </si>
  <si>
    <t>From high QR and long-term rates at Macs Knob</t>
  </si>
  <si>
    <t>≥2.8 (1.4-4.2)</t>
  </si>
  <si>
    <t>≥6 (5.2-6.8)</t>
  </si>
  <si>
    <t>&gt;5.8 (4.5-7.5)</t>
  </si>
  <si>
    <t>0.4 (0.3-0.5)</t>
  </si>
  <si>
    <t>3.5 (2.3-4.7)</t>
  </si>
  <si>
    <t>0.5 (0.3-0.7)</t>
  </si>
  <si>
    <t>0.2 0.18-0.22)</t>
  </si>
  <si>
    <t>1.5 (0.6-2.4)</t>
  </si>
  <si>
    <t>1.5 (1.3-1.7)</t>
  </si>
  <si>
    <t>0.13 (0.09-0.17)</t>
  </si>
  <si>
    <t>0.3 (0.1-0.5)</t>
  </si>
  <si>
    <t>Offset is measured from gravel displacement measured between trench and auger hole. Measured by levelling. Some suggestion that there is dextral displacement but not quantified. Converted to Dip SR using CFM dip and infer is a minimum net SR.</t>
  </si>
  <si>
    <t>&gt;0.12</t>
  </si>
  <si>
    <t>2 km south of Cloustonville</t>
  </si>
  <si>
    <t>Aotea</t>
  </si>
  <si>
    <t>From long-term Emerald Hill rate, converted to net SR</t>
  </si>
  <si>
    <t>Combined rate from Wellington Hutt Valley 4 and Akatarawa</t>
  </si>
  <si>
    <t>Wellington Hutt rate minus Aotea F rate</t>
  </si>
  <si>
    <t>0.58 (0.22-0.98)</t>
  </si>
  <si>
    <t>0.2 (0.1-0.3)</t>
  </si>
  <si>
    <t>Rounded to 1 DP, but otherwise unchanged from 2014 AFM</t>
  </si>
  <si>
    <t>020105AMNSA</t>
  </si>
  <si>
    <t>020105AMNSB</t>
  </si>
  <si>
    <t>020105AMNSC</t>
  </si>
  <si>
    <t>020105AMNSD</t>
  </si>
  <si>
    <t>020105AMNSE</t>
  </si>
  <si>
    <t>020105AMNSF</t>
  </si>
  <si>
    <t>020105AMNSF(B)</t>
  </si>
  <si>
    <t>020105AMNSG</t>
  </si>
  <si>
    <t>020105AMNSH</t>
  </si>
  <si>
    <t>311CBTMFPA</t>
  </si>
  <si>
    <t>311CBTMFPB</t>
  </si>
  <si>
    <t>311CBTMFPC</t>
  </si>
  <si>
    <t>311CBTMFPE</t>
  </si>
  <si>
    <t>020105ATMNSB</t>
  </si>
  <si>
    <t>020105ATMNSC</t>
  </si>
  <si>
    <t>020105ATMNSD</t>
  </si>
  <si>
    <t>020105ATMNSF</t>
  </si>
  <si>
    <t>020105ATMNSG</t>
  </si>
  <si>
    <t>020105ATMNSH</t>
  </si>
  <si>
    <t>04ESPA</t>
  </si>
  <si>
    <t>04ESPB</t>
  </si>
  <si>
    <t>04ESPE</t>
  </si>
  <si>
    <t>04ESPF</t>
  </si>
  <si>
    <t>04ESPG</t>
  </si>
  <si>
    <t>020505MNLA</t>
  </si>
  <si>
    <t>020505MNLB</t>
  </si>
  <si>
    <t>020505MNLC</t>
  </si>
  <si>
    <t>020505MNLD</t>
  </si>
  <si>
    <t>020505MNLE</t>
  </si>
  <si>
    <t>020505MNLF</t>
  </si>
  <si>
    <t>020505MNLG</t>
  </si>
  <si>
    <t>020505MNLH</t>
  </si>
  <si>
    <t>020505MNLI</t>
  </si>
  <si>
    <t>020505MNLJ</t>
  </si>
  <si>
    <t>020505MNLK</t>
  </si>
  <si>
    <t>020505MNLL</t>
  </si>
  <si>
    <t>020505MNLM</t>
  </si>
  <si>
    <t>020505MNUA</t>
  </si>
  <si>
    <t>020505MNUB</t>
  </si>
  <si>
    <t>020505MNUC</t>
  </si>
  <si>
    <t>020505MNUD</t>
  </si>
  <si>
    <t>020505MNUE</t>
  </si>
  <si>
    <t>020505MNUF</t>
  </si>
  <si>
    <t>020505MNUG</t>
  </si>
  <si>
    <t>020505MNUI</t>
  </si>
  <si>
    <t>013005ANSPA</t>
  </si>
  <si>
    <t>013005ANSPB</t>
  </si>
  <si>
    <t>013005ANSPC</t>
  </si>
  <si>
    <t>013005ANSPD</t>
  </si>
  <si>
    <t>013005ANSPE</t>
  </si>
  <si>
    <t>013005ANSPF</t>
  </si>
  <si>
    <t>013005ANSPG</t>
  </si>
  <si>
    <t>209AESSA</t>
  </si>
  <si>
    <t>209AESSB</t>
  </si>
  <si>
    <t>209AESSC</t>
  </si>
  <si>
    <t>209AESSD</t>
  </si>
  <si>
    <t>209AESSE</t>
  </si>
  <si>
    <t>209AWSNA</t>
  </si>
  <si>
    <t>209AWSNF</t>
  </si>
  <si>
    <t>209AWSNG</t>
  </si>
  <si>
    <t>209AESNB</t>
  </si>
  <si>
    <t>209AESNC</t>
  </si>
  <si>
    <t>T2N</t>
  </si>
  <si>
    <t>020105BTMHSPB</t>
  </si>
  <si>
    <t>020105BTMHSPC</t>
  </si>
  <si>
    <t>020105BTMHSPD</t>
  </si>
  <si>
    <t>020105BTMHSPE</t>
  </si>
  <si>
    <t>020105BTMHSPF</t>
  </si>
  <si>
    <t>311CBTMFPH</t>
  </si>
  <si>
    <t>311CBTMFPJ</t>
  </si>
  <si>
    <t>311CBTMFPK</t>
  </si>
  <si>
    <t>311CBTMFPL</t>
  </si>
  <si>
    <t>020505BMHSD</t>
  </si>
  <si>
    <t>020505BMHSC</t>
  </si>
  <si>
    <t>020505BMHSB</t>
  </si>
  <si>
    <t>020505BMHSA</t>
  </si>
  <si>
    <t>020505AMNHA</t>
  </si>
  <si>
    <t>020505AMNHB</t>
  </si>
  <si>
    <t>020505AMNHC</t>
  </si>
  <si>
    <t>020505AMNHD</t>
  </si>
  <si>
    <t>T4S</t>
  </si>
  <si>
    <t>T3N</t>
  </si>
  <si>
    <t>T4N_channel</t>
  </si>
  <si>
    <t>311BBFSFPF</t>
  </si>
  <si>
    <t>T4N</t>
  </si>
  <si>
    <t>012505BHSUPC</t>
  </si>
  <si>
    <t>012505BHSUPB</t>
  </si>
  <si>
    <t>012505BHSUPD</t>
  </si>
  <si>
    <t>012505AHSLPA</t>
  </si>
  <si>
    <t>012505AHSLPD</t>
  </si>
  <si>
    <t>Res T0 (east)</t>
  </si>
  <si>
    <t>Res T0 (west)</t>
  </si>
  <si>
    <t>Res T0 (sum)</t>
  </si>
  <si>
    <t>021305ACFPA</t>
  </si>
  <si>
    <t>021305ACFPB</t>
  </si>
  <si>
    <t>021305ACFPC</t>
  </si>
  <si>
    <t>022305ARPA</t>
  </si>
  <si>
    <t>022305ARPB</t>
  </si>
  <si>
    <t>022305ARPC</t>
  </si>
  <si>
    <t>022305ARPD</t>
  </si>
  <si>
    <t>022305ARPE</t>
  </si>
  <si>
    <t>022305ARPF</t>
  </si>
  <si>
    <t>021706AT3WSB</t>
  </si>
  <si>
    <t>021706AT3WSC</t>
  </si>
  <si>
    <t>T2S (DEM)</t>
  </si>
  <si>
    <t>T2'S (DEM)</t>
  </si>
  <si>
    <t>T3S (DEM)</t>
  </si>
  <si>
    <t>HB FPA</t>
  </si>
  <si>
    <t>HB FPB</t>
  </si>
  <si>
    <t>T4E</t>
  </si>
  <si>
    <t>T3W</t>
  </si>
  <si>
    <t>T2’S</t>
  </si>
  <si>
    <t>T2S</t>
  </si>
  <si>
    <t>T3S</t>
  </si>
  <si>
    <t>T1S</t>
  </si>
  <si>
    <t>T1 N (DEM)</t>
  </si>
  <si>
    <t>T3’S</t>
  </si>
  <si>
    <t>T2 (DEM)</t>
  </si>
  <si>
    <t>T3 (DEM)</t>
  </si>
  <si>
    <t>T3′ (DEM)</t>
  </si>
  <si>
    <t>T1N western fold</t>
  </si>
  <si>
    <t>T1N frontal fold</t>
  </si>
  <si>
    <t>T1S western fold</t>
  </si>
  <si>
    <t>T1S frontal fold</t>
  </si>
  <si>
    <t>T1N total</t>
  </si>
  <si>
    <t>T1S total</t>
  </si>
  <si>
    <t>Amos et al. (2010)</t>
  </si>
  <si>
    <t>6.9 (5.0-8.8)</t>
  </si>
  <si>
    <t>5.5 (3.4-7.6)</t>
  </si>
  <si>
    <t>1.6 +1.1/-0.4</t>
  </si>
  <si>
    <t>0.9 +0.7/-0.2</t>
  </si>
  <si>
    <t>0.6 +0.5/-0.1</t>
  </si>
  <si>
    <t>1.1 +0.6/-0.3</t>
  </si>
  <si>
    <t>0.8 +0.6/-0.2</t>
  </si>
  <si>
    <t>1.8 +1.3/-0.4</t>
  </si>
  <si>
    <t>1.7 +1.1/-0.3</t>
  </si>
  <si>
    <t>1.3 +0.8/-0.3</t>
  </si>
  <si>
    <t>1.2 +0.8/-0.2</t>
  </si>
  <si>
    <t>0.6 +0.5/-0.2</t>
  </si>
  <si>
    <t>0.7 +0.2/-0.1</t>
  </si>
  <si>
    <t>1.3 +0.4/-0.2</t>
  </si>
  <si>
    <t>1.4 +0.8/-0.3</t>
  </si>
  <si>
    <t>1.8 +1.1/-0.3</t>
  </si>
  <si>
    <t>1.5 +0.9/-0.3</t>
  </si>
  <si>
    <t>1.8 +1.4/-0.5</t>
  </si>
  <si>
    <t>1.4 +1.0/-0.4</t>
  </si>
  <si>
    <t>1.1 +0.7/-0.2</t>
  </si>
  <si>
    <t>1.6 +1.0/-0.3</t>
  </si>
  <si>
    <t>1.2 +0.7/-0.3</t>
  </si>
  <si>
    <t>0.8 +0.5/-0.2</t>
  </si>
  <si>
    <t>0.9 +0.6/-0.2</t>
  </si>
  <si>
    <t>2.8 +1.1/-0.4</t>
  </si>
  <si>
    <t>2.9 +1.1/-0.4</t>
  </si>
  <si>
    <t>2.0 +0.7/-0.4</t>
  </si>
  <si>
    <t>2.1 +0.7/-0.4</t>
  </si>
  <si>
    <t>22.5 +12.2/-2.9</t>
  </si>
  <si>
    <t>23.6 +11.8/-3.8</t>
  </si>
  <si>
    <t>15.2 +5.0/-1.4</t>
  </si>
  <si>
    <t>56.4 +30.8/-6.3</t>
  </si>
  <si>
    <t>91.0 +50.3/-10.2</t>
  </si>
  <si>
    <t>24.4 +11.7/-3.6</t>
  </si>
  <si>
    <t>22.1 +10.9/-3.2</t>
  </si>
  <si>
    <t>210.8 +109.1/-34.1</t>
  </si>
  <si>
    <t>196.4 +99.1/32.4</t>
  </si>
  <si>
    <t>196.4 +99.1/-32.4</t>
  </si>
  <si>
    <t>16.2 +9.5/-2.1</t>
  </si>
  <si>
    <t>22.5 +13.3/-2.7</t>
  </si>
  <si>
    <t>65.5 +9.5/-5</t>
  </si>
  <si>
    <t>117.4 +17.3/-10.1</t>
  </si>
  <si>
    <t>22.2 +3.2/-1.8</t>
  </si>
  <si>
    <t>29.8 +4.4/-2.4</t>
  </si>
  <si>
    <t>131.4 +68.8/-17.8</t>
  </si>
  <si>
    <t>49.2 +25.3/-7.8</t>
  </si>
  <si>
    <t>36.3 +20.3/-5.0</t>
  </si>
  <si>
    <t>190.8 +97.7/-25.9</t>
  </si>
  <si>
    <t>124.1 +60.3/-19.3</t>
  </si>
  <si>
    <t>179.3 +90.7/-27</t>
  </si>
  <si>
    <t>147.1 +76.5/-22.5</t>
  </si>
  <si>
    <t>19.8 +97.7/-25.9</t>
  </si>
  <si>
    <t>322.2 +87.9/-39.7</t>
  </si>
  <si>
    <t>332.1 +89.5/-41.0</t>
  </si>
  <si>
    <t>332.1 +89.5/-41</t>
  </si>
  <si>
    <t>15.2 ± 2.4</t>
  </si>
  <si>
    <t>26.5 ± 4.0</t>
  </si>
  <si>
    <t>73-105</t>
  </si>
  <si>
    <t>110.8 ± 11.5</t>
  </si>
  <si>
    <t>110.4 ± 11.5</t>
  </si>
  <si>
    <t>130-191</t>
  </si>
  <si>
    <t>110.8 ±11.5</t>
  </si>
  <si>
    <t>Strath terrace</t>
  </si>
  <si>
    <t>Surface exposure</t>
  </si>
  <si>
    <t>Used a listric thrust model to calculate SR using terrace tilt, backlimb width and surface ages. 2 sigma SR uncertainties calculated using a Monte Carlo simulation. Terrace profile from differential GPS survey.</t>
  </si>
  <si>
    <t>Used a listric thrust model to calculate SR using terrace tilt, backlimb width and surface ages. 2 sigma SR uncertainties calculated using a Monte Carlo simulation. Terrace profile from 10-m TOPSAR DEM.</t>
  </si>
  <si>
    <t>Inferred to be Tekapo surface. Used cosmogenic surface ages obtained from end moraine at Top McMillan Stream and elsewhere by  Schaefer et al. (2006).</t>
  </si>
  <si>
    <t>Inferred to be Mt John surface. Used cosmogenic surface exposure age of Schaefer et al. (2001).</t>
  </si>
  <si>
    <t>From OSL ages obtained at the Ohau River and by Amos et al. (2007).</t>
  </si>
  <si>
    <t>Inferred to be Balmoral surface. From OSL ages obtained at the Ohau River and by Amos et al. (2007).</t>
  </si>
  <si>
    <t>Inferred to be Balmoral surface. From OSL ages obtained near this site and by Amos et al. (2007).</t>
  </si>
  <si>
    <t>Inferred to be Wolds surface. Age bracketed by cosmogenic surface exposure age at Dry Stream and bounds on MI6 (130-191 ka).</t>
  </si>
  <si>
    <t>Inferred to be Wolds surface. Cosmogenic surface exposure age at Dry Stream.</t>
  </si>
  <si>
    <t>Inferred to be older Wolds surface and age inferred to MIS 6.</t>
  </si>
  <si>
    <t>1.0 +0.8/-0.3</t>
  </si>
  <si>
    <t>1.1 +1.1/-0.3</t>
  </si>
  <si>
    <t>0.7 +0.6/-0.2</t>
  </si>
  <si>
    <t>0.6 +0.4/-0.2</t>
  </si>
  <si>
    <t>0.5 +0.4/-0.1</t>
  </si>
  <si>
    <t>0.5 +0.4/-0.2</t>
  </si>
  <si>
    <t>1.0 +0.9/-0.3</t>
  </si>
  <si>
    <t>0.4 +0.4/-0.2</t>
  </si>
  <si>
    <t>0.3 +0.3/-0.1</t>
  </si>
  <si>
    <t>0.1 +0.1/-0.1</t>
  </si>
  <si>
    <t>1.1 +0.9/-0.3</t>
  </si>
  <si>
    <t>0.7 +0.7/-0.2</t>
  </si>
  <si>
    <t>0.9 +0.7/-0.3</t>
  </si>
  <si>
    <t>0.9 +0.8/-0.3</t>
  </si>
  <si>
    <t>1.0 +0.9/-0.2</t>
  </si>
  <si>
    <t>1.2 +1.0/-0.3</t>
  </si>
  <si>
    <t>1.4 +1.1/-0.4</t>
  </si>
  <si>
    <t>0.1 +0.1/-0.0</t>
  </si>
  <si>
    <t>0.2 +0.2/-0.1</t>
  </si>
  <si>
    <t>0.2 +0.1/-0.1</t>
  </si>
  <si>
    <t>0.2 +0.1/-0.0</t>
  </si>
  <si>
    <t>0.3 +0.2/-0.1</t>
  </si>
  <si>
    <t>0.7 +0.5/-0.2</t>
  </si>
  <si>
    <t>14.8 +9.4/-2.7</t>
  </si>
  <si>
    <t>16.9 +12.3/-3.1</t>
  </si>
  <si>
    <t>18.3 +10.4/-3.6</t>
  </si>
  <si>
    <t>14.2 +8.8/-2.4</t>
  </si>
  <si>
    <t>15.8 +9.7/-2.5</t>
  </si>
  <si>
    <t>13.2 +8.7/-2.2</t>
  </si>
  <si>
    <t>12.0 +9.1/-1.7</t>
  </si>
  <si>
    <t>14.3 +8.9/-2.5</t>
  </si>
  <si>
    <t>15.4 +10.1/-1.9</t>
  </si>
  <si>
    <t>14.3 +10.1/-2.2</t>
  </si>
  <si>
    <t>5.4 +5.1/-2.8</t>
  </si>
  <si>
    <t>4.2 +2.8/-0.7</t>
  </si>
  <si>
    <t>1.8 +1.4/-1.1</t>
  </si>
  <si>
    <t>30.0 +18.3/-5.3</t>
  </si>
  <si>
    <t>10.3 +5.3/-1.3</t>
  </si>
  <si>
    <t>10.5 +6.8/-1.8</t>
  </si>
  <si>
    <t>19.9 +12.7/-3.3</t>
  </si>
  <si>
    <t>12.7 +8.9/-2.1</t>
  </si>
  <si>
    <t>13.8 +9.4/-2.3</t>
  </si>
  <si>
    <t>16.4 +9.3/-3.6</t>
  </si>
  <si>
    <t>17.1 +11.2/-2.3</t>
  </si>
  <si>
    <t>15.3 +10.5/-2.1</t>
  </si>
  <si>
    <t>13.6 +8.9/-2.4</t>
  </si>
  <si>
    <t>19.5 +12.8/-2.6</t>
  </si>
  <si>
    <t>1.5 +1.1/0.5</t>
  </si>
  <si>
    <t>1.4 +1.1/-0.3</t>
  </si>
  <si>
    <t>3.0 +1.9/-0.7</t>
  </si>
  <si>
    <t>1.8 +1.3/-0.7</t>
  </si>
  <si>
    <t>3.3 +1.2/-0.5</t>
  </si>
  <si>
    <t>2.9 +1.8/-0.7</t>
  </si>
  <si>
    <t>2.3 +1.5/-0.7</t>
  </si>
  <si>
    <t>2.7 +1.4/-0.5</t>
  </si>
  <si>
    <t>2.4 +1.2/-0.5</t>
  </si>
  <si>
    <t>2.9 +1.2/-0.5</t>
  </si>
  <si>
    <t>3.1 +1.1/-0.4</t>
  </si>
  <si>
    <t>2.1 +1.2/-0.4</t>
  </si>
  <si>
    <t>2.0 +1.4/-0.7</t>
  </si>
  <si>
    <t>2.5 +1.1/0.4</t>
  </si>
  <si>
    <t>1.8 +1.2/-0.5</t>
  </si>
  <si>
    <t>1.6 +1.5/0.8</t>
  </si>
  <si>
    <t>2.1 +1.5/-0.5</t>
  </si>
  <si>
    <t>1.7 +1.7/-0.9</t>
  </si>
  <si>
    <t>1.7 +1.2/-0.5</t>
  </si>
  <si>
    <t>1.9 +1.2/0.5</t>
  </si>
  <si>
    <t>4.0 +2.5/-0.6</t>
  </si>
  <si>
    <t>6.7 +3.9/-1.0</t>
  </si>
  <si>
    <t>4.2 +2.5/-0.7</t>
  </si>
  <si>
    <t>4.2 +2.9/-1.1</t>
  </si>
  <si>
    <t>2.5 +1.8/-0.7</t>
  </si>
  <si>
    <t>2.8 +2.0/-0.5</t>
  </si>
  <si>
    <t>3.3 +2.2/-0.7</t>
  </si>
  <si>
    <t>4.0 +1.8/-0.7</t>
  </si>
  <si>
    <t>4.2 +2.6/-1.3</t>
  </si>
  <si>
    <t>3.2 +2.0/-0.8</t>
  </si>
  <si>
    <t>4.1 +2.7/-0.7</t>
  </si>
  <si>
    <t>3.2 +2.0/-0.5</t>
  </si>
  <si>
    <t>6.4 +4.0/-1.3</t>
  </si>
  <si>
    <t>Inferred to be Tekapo surface. Used cosmogenic surface ages obtained from end moraine here and elsewhere by  Schaefer et al. (2006).</t>
  </si>
  <si>
    <r>
      <t>From terrace offsets measured along a differential GPS profile. Vertical slip converted to Dip slip using a dip of 50 ± 18</t>
    </r>
    <r>
      <rPr>
        <sz val="10"/>
        <color theme="1"/>
        <rFont val="Calibri"/>
        <family val="2"/>
      </rPr>
      <t>°</t>
    </r>
    <r>
      <rPr>
        <sz val="11"/>
        <color theme="1"/>
        <rFont val="Calibri"/>
        <family val="2"/>
      </rPr>
      <t xml:space="preserve">. </t>
    </r>
    <r>
      <rPr>
        <sz val="10"/>
        <color theme="1"/>
        <rFont val="Calibri"/>
        <family val="2"/>
        <scheme val="minor"/>
      </rPr>
      <t>2 sigma SR uncertainties calculated using a Monte Carlo simulation.</t>
    </r>
  </si>
  <si>
    <t>From terrace offsets measured along a differential GPS profile. Vertical slip converted to Dip slip using a dip of 50 ± 18°. 2 sigma SR uncertainties calculated using a Monte Carlo simulation.</t>
  </si>
  <si>
    <r>
      <t>From terrace offsets measured along a differential GPS profile. Vertical slip converted to Dip slip using a dip of 50 ± 18</t>
    </r>
    <r>
      <rPr>
        <sz val="10"/>
        <color theme="1"/>
        <rFont val="Calibri"/>
        <family val="2"/>
      </rPr>
      <t>° steepening to 56 ± 9° in the shallow subsurface</t>
    </r>
    <r>
      <rPr>
        <sz val="11"/>
        <color theme="1"/>
        <rFont val="Calibri"/>
        <family val="2"/>
      </rPr>
      <t xml:space="preserve">. </t>
    </r>
    <r>
      <rPr>
        <sz val="10"/>
        <color theme="1"/>
        <rFont val="Calibri"/>
        <family val="2"/>
        <scheme val="minor"/>
      </rPr>
      <t>2 sigma SR uncertainties calculated using a Monte Carlo simulation.</t>
    </r>
  </si>
  <si>
    <t>0.0 +0.0/-0.0</t>
  </si>
  <si>
    <t>0.4 +0.2/-0.1</t>
  </si>
  <si>
    <t>0.2 +0.3/-0.2</t>
  </si>
  <si>
    <t>0.2 +0.3/-0.1</t>
  </si>
  <si>
    <t>1.1 +0.7/-0.3</t>
  </si>
  <si>
    <t>1.2 +0.9/-0.5</t>
  </si>
  <si>
    <t>0.5 +0.5/-0.3</t>
  </si>
  <si>
    <t>1.8 +0.9/-0.6</t>
  </si>
  <si>
    <t>0.18 +0.16/-0.04</t>
  </si>
  <si>
    <t>0.26 +0.23/-0.06</t>
  </si>
  <si>
    <t>0.29 +0.25/-0.07</t>
  </si>
  <si>
    <t>0.34 +0.29/-0.07</t>
  </si>
  <si>
    <t>0.37 +0.3/-0.12</t>
  </si>
  <si>
    <t>0.42 +0.32/-0.1</t>
  </si>
  <si>
    <t>0.45 +0.33/-0.12</t>
  </si>
  <si>
    <t>0.3 +0.23/-0.08</t>
  </si>
  <si>
    <t>1.2 +1.5/-0.8</t>
  </si>
  <si>
    <t>0.9 +0.6/-0.3</t>
  </si>
  <si>
    <t>0.4 +0.3/-0.1</t>
  </si>
  <si>
    <t>0.2 +1.0/-0.2</t>
  </si>
  <si>
    <t>0.5 +1.6/-0.5</t>
  </si>
  <si>
    <t>4.2 +2.6/-0.7</t>
  </si>
  <si>
    <t>2.0 +1.3/-0.5</t>
  </si>
  <si>
    <t>1.0 +0.9/-0.5</t>
  </si>
  <si>
    <t>30.8 +19.2/-9.0</t>
  </si>
  <si>
    <t>9.2 +5.6/-1.8</t>
  </si>
  <si>
    <t>4.3 +3.8/-0.7</t>
  </si>
  <si>
    <t>6.4 +4.5/-1.8</t>
  </si>
  <si>
    <t>4.0 +3.5/-1.7</t>
  </si>
  <si>
    <t>6.1 +3.8/-1.3</t>
  </si>
  <si>
    <t>8.0 +5.8/-1.6</t>
  </si>
  <si>
    <t>5.2 +2.3/-0.9</t>
  </si>
  <si>
    <t>2.8 +2.6/-1.4</t>
  </si>
  <si>
    <t>2.4 +4.2/-2.7</t>
  </si>
  <si>
    <t>4.0 +2.5/-3.7</t>
  </si>
  <si>
    <t>3.2 +2.1/-0.5</t>
  </si>
  <si>
    <t>3.9 +2.7/-0.8</t>
  </si>
  <si>
    <t>2.6 +1.7/-0.7</t>
  </si>
  <si>
    <t>2.5 +1.6/-0.5</t>
  </si>
  <si>
    <t>2.8 +1.9/-0.7</t>
  </si>
  <si>
    <t>2.4 +1.6/-0.4</t>
  </si>
  <si>
    <t>10.4 +5.7/-2.0</t>
  </si>
  <si>
    <t>66.3 +39.9/-8.4</t>
  </si>
  <si>
    <t>27.7 +14.4/-4.0</t>
  </si>
  <si>
    <t>14.2 +8.2/-2.4</t>
  </si>
  <si>
    <t>16.2 +9.3/-2.5</t>
  </si>
  <si>
    <t>16.7 +9.7/-2.5</t>
  </si>
  <si>
    <t>27.9 +15.3/-3.2</t>
  </si>
  <si>
    <t>28.8 +14.7/-4.2</t>
  </si>
  <si>
    <t>29.6 +14.8/-4.3</t>
  </si>
  <si>
    <t>6.9 +3.5/-0.9</t>
  </si>
  <si>
    <t>5.4 +2.8/-0.7</t>
  </si>
  <si>
    <t>19.5 +8.1/-7.7</t>
  </si>
  <si>
    <t>9.1 +5.1/-4.9</t>
  </si>
  <si>
    <t>28.6 +9.1/-9.2</t>
  </si>
  <si>
    <t>2.4 +2.1/-0.1</t>
  </si>
  <si>
    <t>4.2 +2.2/-0.9</t>
  </si>
  <si>
    <t>4.5 +2.5/-0.6</t>
  </si>
  <si>
    <t>5.4 +2.9/0.7</t>
  </si>
  <si>
    <t>5.8 +3.3/-1.6</t>
  </si>
  <si>
    <t>6.4 +3.3/-0.9</t>
  </si>
  <si>
    <t>6.8 +3.4/-0.9</t>
  </si>
  <si>
    <t>4.6 +2.3/-0.6</t>
  </si>
  <si>
    <t>4.6 +2.4/-0.7</t>
  </si>
  <si>
    <t>32.7 +32.6/-22.9</t>
  </si>
  <si>
    <t>13.1 +6.7/-1.8</t>
  </si>
  <si>
    <t>11.2 +5.8/-1.6</t>
  </si>
  <si>
    <t>43.2 +24.8/-11.8</t>
  </si>
  <si>
    <t>36.1 +19.5/-7.4</t>
  </si>
  <si>
    <t>17.4 +8.7/-3.7</t>
  </si>
  <si>
    <t>4.5 +13.2/-4.5</t>
  </si>
  <si>
    <t>7.6 +22.5/-7.6</t>
  </si>
  <si>
    <t>1.6 (1.2-2.7)</t>
  </si>
  <si>
    <t>0.9 (0.7-1.6)</t>
  </si>
  <si>
    <t>0.6 (0.5-1.1)</t>
  </si>
  <si>
    <t>1.1 (0.8-1.7)</t>
  </si>
  <si>
    <t>0.8 (0.6-1.4)</t>
  </si>
  <si>
    <t>1.8 (1.4-3.1)</t>
  </si>
  <si>
    <t>1.3 (1-2.1)</t>
  </si>
  <si>
    <t>1.2 (1-2)</t>
  </si>
  <si>
    <t>0.6 (0.4-1.1)</t>
  </si>
  <si>
    <t>0.7 )0.6-0.9)</t>
  </si>
  <si>
    <t>1.3 (1.1-1.7)</t>
  </si>
  <si>
    <t>1.4 (1.1-2.2)</t>
  </si>
  <si>
    <t>1.8 (1.5-2.9)</t>
  </si>
  <si>
    <t>1.5 (1.2-2.4)</t>
  </si>
  <si>
    <t>1.8 (1.3-3.2)</t>
  </si>
  <si>
    <t>1.4 (1-2.4)</t>
  </si>
  <si>
    <t>1.7 (1.4-2.8)</t>
  </si>
  <si>
    <t>1.1 (0.9-1.8)</t>
  </si>
  <si>
    <t>1.6 (1.3-2.6)</t>
  </si>
  <si>
    <t>1.2 (0.9-1.9)</t>
  </si>
  <si>
    <t>0.8 (0.6-1.3)</t>
  </si>
  <si>
    <t>0.9 (0.7-1.5)</t>
  </si>
  <si>
    <t>2.8 (2.4-3.9)</t>
  </si>
  <si>
    <t>2.9 (2.5-4)</t>
  </si>
  <si>
    <t>2.0 (1.6-2.7)</t>
  </si>
  <si>
    <t>2.1 (1.7-2.8)</t>
  </si>
  <si>
    <t>1.0 (0.7-1.8)</t>
  </si>
  <si>
    <t>1.1 (0.8-2.2)</t>
  </si>
  <si>
    <t>0.7 (0.5-1.3)</t>
  </si>
  <si>
    <t>0.6 (0.4-1)</t>
  </si>
  <si>
    <t>0.5 (0.4-0.9)</t>
  </si>
  <si>
    <t>0.5 (0.3-0.9)</t>
  </si>
  <si>
    <t>1.0 (0.7-1.9)</t>
  </si>
  <si>
    <t>0.4 (0.2-0.8)</t>
  </si>
  <si>
    <t>0.3 (0.2-0.6)</t>
  </si>
  <si>
    <t>0.1 (0-0.2)</t>
  </si>
  <si>
    <t>1.1 (0.8-2)</t>
  </si>
  <si>
    <t>0.7 (0.5-1.4)</t>
  </si>
  <si>
    <t>0.7 (0.5-1.2)</t>
  </si>
  <si>
    <t>0.9 (0.6-1.6)</t>
  </si>
  <si>
    <t>0.9 (0.6-1.7)</t>
  </si>
  <si>
    <t>1.0 (0.8-1.9)</t>
  </si>
  <si>
    <t>1.2 (0.9-2.2)</t>
  </si>
  <si>
    <t>1.4 (1-2.5)</t>
  </si>
  <si>
    <t>0.1 (0.1-0.2)</t>
  </si>
  <si>
    <t>0.2 (0.1-0.4)</t>
  </si>
  <si>
    <t>0.1 0.1-0.2)</t>
  </si>
  <si>
    <t>0.2 (0.2-0.3)</t>
  </si>
  <si>
    <t>0.3 (0.2-0.5)</t>
  </si>
  <si>
    <t>0.0 (0-0)</t>
  </si>
  <si>
    <t>0.4 (0.3-0.6)</t>
  </si>
  <si>
    <t>0.2 (0-0.5)</t>
  </si>
  <si>
    <t>0.2 (0.1-0.5)</t>
  </si>
  <si>
    <t>1.1 (0.8-1.8)</t>
  </si>
  <si>
    <t>1.2 (0.7-2.1)</t>
  </si>
  <si>
    <t>0.5 (0.2-1)</t>
  </si>
  <si>
    <t>1.8 (1.2-2.7)</t>
  </si>
  <si>
    <t>0.18 (0.14-0.34)</t>
  </si>
  <si>
    <t>0.26 (0.2-0.49)</t>
  </si>
  <si>
    <t>0.29 (0.22-0.54)</t>
  </si>
  <si>
    <t>0.34 (0.27-0.63)</t>
  </si>
  <si>
    <t>0.37 (0.25-0.67)</t>
  </si>
  <si>
    <t>0.42 (0.32-0.74)</t>
  </si>
  <si>
    <t>0.45 (0.33-0.78)</t>
  </si>
  <si>
    <t>0.3 (0.22-0.53)</t>
  </si>
  <si>
    <t>1.2 (0.4-2.7)</t>
  </si>
  <si>
    <t>0.9 (0.6-1.5)</t>
  </si>
  <si>
    <t>0.4 (0.3-0.7)</t>
  </si>
  <si>
    <t>0.2 (0-1.2)</t>
  </si>
  <si>
    <t>0.5 (0-2.1)</t>
  </si>
  <si>
    <t>Waimana</t>
  </si>
  <si>
    <t>Timoti 2</t>
  </si>
  <si>
    <t>1.2 ± 0.9</t>
  </si>
  <si>
    <t>1.2 (0.3-2.1)</t>
  </si>
  <si>
    <t>13 ± 7
2 ± 1</t>
  </si>
  <si>
    <t>9.5-30</t>
  </si>
  <si>
    <t>RTK measurement. No dip value reported</t>
  </si>
  <si>
    <t>Tephra details not given in paper</t>
  </si>
  <si>
    <t>Mouslopoulou et al. (2007)</t>
  </si>
  <si>
    <t>Regine Morgenstern</t>
  </si>
  <si>
    <t>Don 2</t>
  </si>
  <si>
    <t>0.8 ± 0.4</t>
  </si>
  <si>
    <t>0.8 (0.4-1.2)</t>
  </si>
  <si>
    <t>13.5 ± 2
2 ± 0.5</t>
  </si>
  <si>
    <t>River margin</t>
  </si>
  <si>
    <t>15-23</t>
  </si>
  <si>
    <t>C14 
Tephrochronology</t>
  </si>
  <si>
    <t>Moana-Iti</t>
  </si>
  <si>
    <t>&lt;1.2 ± 0.5</t>
  </si>
  <si>
    <t>&lt;1.2 (0.7-1.7)</t>
  </si>
  <si>
    <t>20 ± 3
2 ± 1</t>
  </si>
  <si>
    <t>Scarp</t>
  </si>
  <si>
    <t>SR is a maximum rate only. Trench-RTK measurement.  A dip value of 88 ± 2 was used to calculate Net SR</t>
  </si>
  <si>
    <t>Moana</t>
  </si>
  <si>
    <t>Timoti 1</t>
  </si>
  <si>
    <t>1.1 ± 0.9</t>
  </si>
  <si>
    <t>1.1 (0.2-1)</t>
  </si>
  <si>
    <t>12 ± 6
2 ± 1</t>
  </si>
  <si>
    <t>Sonny Riser</t>
  </si>
  <si>
    <t>&gt;1 ± 0.5</t>
  </si>
  <si>
    <t>&gt;1 (0.5-1.5)</t>
  </si>
  <si>
    <t>13 ± 6
2.5 ± 0.5</t>
  </si>
  <si>
    <t>River terrace riser</t>
  </si>
  <si>
    <t>SR is a minimum rate only. RTK measurement. No dip value reported</t>
  </si>
  <si>
    <t>Tephra details not given in paper. Only a single age is reported</t>
  </si>
  <si>
    <t>Ahirau 4</t>
  </si>
  <si>
    <t>1.2 ± 0.8</t>
  </si>
  <si>
    <t>1.2 (0.4-2)</t>
  </si>
  <si>
    <t>10 ± 5
2 ± 1</t>
  </si>
  <si>
    <t>8-13.8</t>
  </si>
  <si>
    <t>Waiiti</t>
  </si>
  <si>
    <t>&gt;1.2 ± 0.5</t>
  </si>
  <si>
    <t>&gt;1.2 (0.7-1.9)</t>
  </si>
  <si>
    <t>5.5 ± 2
2.5 ± 0.5</t>
  </si>
  <si>
    <t>SR is a minimum rate only. Note small reported offsets. Measured by tape measure. No dip value reported</t>
  </si>
  <si>
    <r>
      <t xml:space="preserve">75 </t>
    </r>
    <r>
      <rPr>
        <sz val="10"/>
        <color theme="1"/>
        <rFont val="Calibri"/>
        <family val="2"/>
      </rPr>
      <t>± 10</t>
    </r>
  </si>
  <si>
    <r>
      <t xml:space="preserve">SR is a maximum rate only. Trench-RTK measurement. Reported dip (47 </t>
    </r>
    <r>
      <rPr>
        <sz val="10"/>
        <rFont val="Calibri"/>
        <family val="2"/>
      </rPr>
      <t>± 2) varies a lot from CFM dip</t>
    </r>
    <r>
      <rPr>
        <sz val="10"/>
        <rFont val="Calibri"/>
        <family val="2"/>
        <scheme val="minor"/>
      </rPr>
      <t>, but still has the same SR</t>
    </r>
  </si>
  <si>
    <t>Waiohau</t>
  </si>
  <si>
    <r>
      <t xml:space="preserve">65 </t>
    </r>
    <r>
      <rPr>
        <sz val="10"/>
        <color theme="1"/>
        <rFont val="Calibri"/>
        <family val="2"/>
      </rPr>
      <t>± 5</t>
    </r>
  </si>
  <si>
    <t>Tasman 1</t>
  </si>
  <si>
    <t>&gt;0.7 (0.5-0.9)</t>
  </si>
  <si>
    <t>&gt;c. 7</t>
  </si>
  <si>
    <t>SR is a minimum rate only (only min. displacement given). V displacement only approx. No value given for subordinate displacement (RL). Measured in trench. A dip value of 65 ± 5 was used to calculate Net SR</t>
  </si>
  <si>
    <t>Mouslopoulou et al. (2007); Woodward-Clyde (1998)</t>
  </si>
  <si>
    <t>Cornes</t>
  </si>
  <si>
    <t>V
RL</t>
  </si>
  <si>
    <t>8 ± 1
3 ± 1</t>
  </si>
  <si>
    <t>RTK measurement. A dip value of 65 ± 10 was used to calculate Net SR</t>
  </si>
  <si>
    <t>Troutebeck</t>
  </si>
  <si>
    <t>&gt;c. 9</t>
  </si>
  <si>
    <t>V displacement only approx. No value given for subordinate displacement (RL). Measured in trench. A dip value of c. 70 was used to calculate Net SR</t>
  </si>
  <si>
    <t>Mouslopoulou et al. (2007); Beanland (1989)</t>
  </si>
  <si>
    <t>Whakatane</t>
  </si>
  <si>
    <t>Pukehoko</t>
  </si>
  <si>
    <t>2.2 ± 1</t>
  </si>
  <si>
    <t>2.2 (1.2-3.2)</t>
  </si>
  <si>
    <t>32 ± 2
26 ± 5</t>
  </si>
  <si>
    <t>17.6-30</t>
  </si>
  <si>
    <t>Measured by tape measure. No dip value reported</t>
  </si>
  <si>
    <t>Anemos</t>
  </si>
  <si>
    <t>1.0 (0.6-1.6)</t>
  </si>
  <si>
    <t>23 ± 5</t>
  </si>
  <si>
    <t>No SR reported. SR was calculated by me. SR was calculated by me. No V (dom sense) displacement reported. SR given is calculated. Measured by tape measure. No dip value reported</t>
  </si>
  <si>
    <t>Tophouse</t>
  </si>
  <si>
    <t>2.2 ± 0.9</t>
  </si>
  <si>
    <t>2.2 (1.3-3.2)</t>
  </si>
  <si>
    <t>30 ± 2
22 ± 5</t>
  </si>
  <si>
    <t>RTK measurement. A dip value of 68 ± 10 was used to calculate Net SR</t>
  </si>
  <si>
    <t>Karenza</t>
  </si>
  <si>
    <t>1.1 (0.7-1.7)</t>
  </si>
  <si>
    <t>25 ± 5</t>
  </si>
  <si>
    <t>No SR reported. SR was calculated by me. No V (dom sense) displacement reported. SR given is calculated. Measured by tape measure. No dip value reported</t>
  </si>
  <si>
    <t>Awahou 2</t>
  </si>
  <si>
    <t>14 ± 6
13 ± 2</t>
  </si>
  <si>
    <t>SR is a minimum only. RTK measurement.  A dip value of 70 ± 10 was used to calculate Net SR</t>
  </si>
  <si>
    <t>Te Whetu</t>
  </si>
  <si>
    <t>10 ± 1</t>
  </si>
  <si>
    <t>c. 30</t>
  </si>
  <si>
    <t>SR is a minimum only and has no uncertainties reported. Assigned an uncertainty of ± 2 ka. Only one slip component recorded. Measured in trench. A dip value of 68 ± 2 was used to calculate Net SR</t>
  </si>
  <si>
    <t>Age is approximate only and single value. Tephra details not given in paper</t>
  </si>
  <si>
    <t>Noti</t>
  </si>
  <si>
    <t>&gt;15.5
15 ± 7</t>
  </si>
  <si>
    <t>17.6-25</t>
  </si>
  <si>
    <t>SR is a minimum only and has no uncertainties reported. V component (dom sense) is a min only and has no reported uncertainty. RTK measurement. No dip value reported. Can't reproduce net SR.</t>
  </si>
  <si>
    <t>Matangi-Mariri</t>
  </si>
  <si>
    <t>&gt;1.4 (0.5-3.4)</t>
  </si>
  <si>
    <t>4 ± 0.5
2.7 ± 0.5</t>
  </si>
  <si>
    <t>Stream on river terrace</t>
  </si>
  <si>
    <t>&lt;3.5</t>
  </si>
  <si>
    <t>No SR reported. SR was calculated by me. Calculate SR is a minimum. Assigned an uncertainty of ± 0.5 ka. Note small reported offsets. Measured by tape measure. No dip value reported</t>
  </si>
  <si>
    <t>Minimum age only. Tephra details not given in paper</t>
  </si>
  <si>
    <r>
      <t xml:space="preserve">85 </t>
    </r>
    <r>
      <rPr>
        <sz val="10"/>
        <color theme="1"/>
        <rFont val="Calibri"/>
        <family val="2"/>
      </rPr>
      <t>± 5</t>
    </r>
  </si>
  <si>
    <t>Ru-1/Armyra</t>
  </si>
  <si>
    <t>3 ± 1.1</t>
  </si>
  <si>
    <t>3 (1.9-4.1)</t>
  </si>
  <si>
    <t>20 ± 2
3 ± 1</t>
  </si>
  <si>
    <t>c. 6-9.5</t>
  </si>
  <si>
    <t>Measured by RTK and in the trench.  A dip value of 81 ± 5 was used to calculate Net SR</t>
  </si>
  <si>
    <t>Approximate ages only. Tephra details not given in paper</t>
  </si>
  <si>
    <t>Ru-2</t>
  </si>
  <si>
    <t>22 ± 2
2 ± 0.5</t>
  </si>
  <si>
    <t>Thalassa/Helios</t>
  </si>
  <si>
    <t>RTK measurement.  A dip value of 85 ± 5 was used to calculate Net SR</t>
  </si>
  <si>
    <t>Waiotahi</t>
  </si>
  <si>
    <t>Waiotahi N</t>
  </si>
  <si>
    <t>1 ± 0.1</t>
  </si>
  <si>
    <t>1 (0.9-1.1)</t>
  </si>
  <si>
    <t>16 ± 1
2 ± 0.5</t>
  </si>
  <si>
    <t>Only a single age is reported. Tephra details not given in paper</t>
  </si>
  <si>
    <t>Waiotahi S</t>
  </si>
  <si>
    <t>1.2 ± 0.4</t>
  </si>
  <si>
    <t>1.2 (0.8-1.6)</t>
  </si>
  <si>
    <t>17 ± 3
2 ± 0.5</t>
  </si>
  <si>
    <t>13.8-17.6</t>
  </si>
  <si>
    <t>Edgecumbe</t>
  </si>
  <si>
    <t>Edgecumbe 1987</t>
  </si>
  <si>
    <t>Edgecumbe 1</t>
  </si>
  <si>
    <t>2.6 ± 1.4</t>
  </si>
  <si>
    <t>4.7 ± 0.8</t>
  </si>
  <si>
    <t>0-1.8</t>
  </si>
  <si>
    <t>Measured in trench.  A dip value of 55 ± 5 was used to calculate Net SR</t>
  </si>
  <si>
    <t>Tephra details not given in paper. It appears that the SR is calculated between 1.8 ka and the 1987 Edgecumbe EQ</t>
  </si>
  <si>
    <t>Mouslopoulou et al. (2007); Beanland et al. (1989)</t>
  </si>
  <si>
    <t>Rotoitipakau</t>
  </si>
  <si>
    <r>
      <t xml:space="preserve">60 </t>
    </r>
    <r>
      <rPr>
        <sz val="10"/>
        <color theme="1"/>
        <rFont val="Calibri"/>
        <family val="2"/>
      </rPr>
      <t>± 10</t>
    </r>
  </si>
  <si>
    <t>Rotoitipakau/Trench A</t>
  </si>
  <si>
    <t>2.2 ± 0.25</t>
  </si>
  <si>
    <t>11.5 ± 0.7</t>
  </si>
  <si>
    <t>C14 
Tephrochronology
Historical rupture</t>
  </si>
  <si>
    <t>Measured in trench. Same as Trench A from Berryman et al. (1998). Mouslapoulou et al. (2007) reported the down quad as W, but Berryman et al. (1998) have it as SE which agrees with lidar so have used SE.  A dip value of 60 was used to calulate net SR</t>
  </si>
  <si>
    <t>Only a single age value is reported. Tephra details not given in paper</t>
  </si>
  <si>
    <t>Mouslopoulou et al. (2007); Berryman et al. (1998)</t>
  </si>
  <si>
    <t>Braemar</t>
  </si>
  <si>
    <t>5.5 ± 2.2</t>
  </si>
  <si>
    <t>Measured in trench.  A dip value of 60 was used to calculate Net SR</t>
  </si>
  <si>
    <t>Matata</t>
  </si>
  <si>
    <t>1.8 ± 0.2</t>
  </si>
  <si>
    <t>1.8 (1.6-2)</t>
  </si>
  <si>
    <t>No uncertainty reported on displacement. Measured in trench.  A dip value of 60 was used to calculate Net SR</t>
  </si>
  <si>
    <t>Ahirau 1</t>
  </si>
  <si>
    <t>1.1 ± 0.6</t>
  </si>
  <si>
    <t>1.1 (0.5-1.7)</t>
  </si>
  <si>
    <t>2 ± 1</t>
  </si>
  <si>
    <t>Net SR is reported, but only subordinate displacement is given. Missing dom displacement. Measured in trench.  A dip value of 82 was used to calculate Net SR</t>
  </si>
  <si>
    <t>Mouslopoulou et al. (2007), Mouslopoulou et al. (2009)</t>
  </si>
  <si>
    <t>Ahirau 2</t>
  </si>
  <si>
    <t>Net SR is reported, but only subordinate displacement is given. Missing dom displacement. Measured in trench.  A dip value of 70 was used to calculate Net SR</t>
  </si>
  <si>
    <t>Don 1</t>
  </si>
  <si>
    <t>1.2 ± 0.5</t>
  </si>
  <si>
    <t>1.2 (0.7-1.7)</t>
  </si>
  <si>
    <t>24 ± 15</t>
  </si>
  <si>
    <t>SR from Mouslopoulou (2006) called Nukuhou North. RTK measurement. No dip value reported</t>
  </si>
  <si>
    <t>No reported age. Age of landscape from thesis is &lt;1.8-c. 50 ka. Applied same ages as for nearby Don 2, Moana and Moana-Iti trenches</t>
  </si>
  <si>
    <t>Mouslopoulou (2006), Mouslopoulou et al. (2007)</t>
  </si>
  <si>
    <t>Te Marama</t>
  </si>
  <si>
    <t>&lt;2.2 (1.3-3.1)</t>
  </si>
  <si>
    <t>1.7 ± 0.3</t>
  </si>
  <si>
    <t>Terrace margin</t>
  </si>
  <si>
    <t>Post c. 0.8</t>
  </si>
  <si>
    <t>Very small displacement recorded and only one component recorded (note discrepancy in dom slip type between CFM and NZAFD). Note age is a maximum so SR must be a minimum. Measured in trench. SR from Mouslopoulou (2006) called Wharepora.  A dip value of 55 ± 5 was used to calculate Net SR</t>
  </si>
  <si>
    <t>Only a single age value is reported, it's only approximate and it's a maximum</t>
  </si>
  <si>
    <t>Fox Peak</t>
  </si>
  <si>
    <t>reverse</t>
  </si>
  <si>
    <t>C. Peaks 78</t>
  </si>
  <si>
    <t>0.67 (0.45-0.92)</t>
  </si>
  <si>
    <t>15.94 (8.21-25.36)</t>
  </si>
  <si>
    <t>Alluvial terrace</t>
  </si>
  <si>
    <t>24.8 ± 2.7</t>
  </si>
  <si>
    <t>Rate classification: best; calculated from vertical separations of terraces that were discontinuous across a fault by assuming fault, scarp and terrace surface geometries from adjacent sites. Scarp profiles were measured by RTK, dGPS, and/or total station, fault dips were measured on outcrops/in trenches, estimated via projection across landforms or inferred from fault plane solutions. Net SR was calculated using Monte Carlo simulations and a dip of 60 ± 5.</t>
  </si>
  <si>
    <t>One OSL age from the Cloudy Peaks terraces site. Assume uncertainties 1 sigma.</t>
  </si>
  <si>
    <t>Stahl et al. (2016)</t>
  </si>
  <si>
    <t>Bray-RW 65_1</t>
  </si>
  <si>
    <t>0.31 (0.04-0.75)</t>
  </si>
  <si>
    <t>4.05 (0.48-9.01)</t>
  </si>
  <si>
    <t>13 +3.6/-3.8</t>
  </si>
  <si>
    <t>Schmidt hammer</t>
  </si>
  <si>
    <t>Rate classification: best. Scarp profiles were measured by RTK, dGPS, and/or total station, fault dips were measured on outcrops/in trenches, estimated via projection across landforms or inferred from fault plane solutions. Net SR was calculated using Monte Carlo simulations and a dip of 50-65 (preferred 55-60).</t>
  </si>
  <si>
    <t xml:space="preserve">Schmidt hammer surface exposure age from the South Opuha River terraces site. Uncertainties 2 sigma. </t>
  </si>
  <si>
    <t>Bray 30</t>
  </si>
  <si>
    <t>1.0 (0.60-1.50)</t>
  </si>
  <si>
    <t>16.2 (10.3-22.8)</t>
  </si>
  <si>
    <t>16.4 ± 2.0</t>
  </si>
  <si>
    <t>One OSL age from the Fox's Peak Skifield site. Assume uncertainties 1 sigma.</t>
  </si>
  <si>
    <t>Bray 29</t>
  </si>
  <si>
    <t>1.00 (0.70-1.50)</t>
  </si>
  <si>
    <t>16.9 (12.1-22.3)</t>
  </si>
  <si>
    <t>Bray 26_1</t>
  </si>
  <si>
    <t>1.60 (0.80-2.70)</t>
  </si>
  <si>
    <t>26.2 (13.78-42.0)</t>
  </si>
  <si>
    <t>Bray 25</t>
  </si>
  <si>
    <t>0.25 (0.19-0.35)</t>
  </si>
  <si>
    <t>4.15 (3.36-5.16)</t>
  </si>
  <si>
    <t>Bray 24</t>
  </si>
  <si>
    <t>0.90 (0.65-1.19)</t>
  </si>
  <si>
    <t>9.78 (8.10-12.0)</t>
  </si>
  <si>
    <t>Bray 22_1</t>
  </si>
  <si>
    <t>1.27 (0.77-1.84</t>
  </si>
  <si>
    <t>1.27 (0.77-1.84)</t>
  </si>
  <si>
    <t>20.0 (14.5-26.1)</t>
  </si>
  <si>
    <t>Bray-RW 72</t>
  </si>
  <si>
    <t>0.09 (0.05-0.14)</t>
  </si>
  <si>
    <t>1.12 (0.62-1.60)</t>
  </si>
  <si>
    <t>Bray 51_1</t>
  </si>
  <si>
    <t>0.57 (0.04-0.92)</t>
  </si>
  <si>
    <t>9.24 (4.46-14.21)</t>
  </si>
  <si>
    <t>Bray 50_1</t>
  </si>
  <si>
    <t>0.67 (0.34-1.07)</t>
  </si>
  <si>
    <t>10.85 (5.63-16.55)</t>
  </si>
  <si>
    <t>Bray 49_1</t>
  </si>
  <si>
    <t>0.56 (0.18-1.14)</t>
  </si>
  <si>
    <t>9.2 (3.04-17.51)</t>
  </si>
  <si>
    <t>Bray 48</t>
  </si>
  <si>
    <t>0.64 (0.42-0.95)</t>
  </si>
  <si>
    <t>10.5 (7.10-14.7)</t>
  </si>
  <si>
    <t>Bray 47</t>
  </si>
  <si>
    <t>1.10 (0.81-1.50)</t>
  </si>
  <si>
    <t>17.7 (14.6-22.0)</t>
  </si>
  <si>
    <t>Bray 46_1</t>
  </si>
  <si>
    <t>0.98 (0.50-1.58)</t>
  </si>
  <si>
    <t>16.1 (8.47-24.4)</t>
  </si>
  <si>
    <t>Bray 44_1</t>
  </si>
  <si>
    <t>1.21 (0.47-1.96)</t>
  </si>
  <si>
    <t>19.7 (9.5-30.1)</t>
  </si>
  <si>
    <t>Bray 43_1</t>
  </si>
  <si>
    <t>0.90 (0.37-1.48)</t>
  </si>
  <si>
    <t>14.75 (9.32-23.8)</t>
  </si>
  <si>
    <t>Bray 42</t>
  </si>
  <si>
    <t>0.80 (0.54-1.20)</t>
  </si>
  <si>
    <t>13.2 (9.26-17.5)</t>
  </si>
  <si>
    <t>Bray 41</t>
  </si>
  <si>
    <t>1.20 (0.30-2.20)</t>
  </si>
  <si>
    <t>19.1 (5.23-33.9)</t>
  </si>
  <si>
    <t>Bray 40</t>
  </si>
  <si>
    <t>0.68 (0.33-1.11)</t>
  </si>
  <si>
    <t>11.2 (5.27-17.7)</t>
  </si>
  <si>
    <t>Bray 37_1</t>
  </si>
  <si>
    <t>0.84 (0.54-1.27)</t>
  </si>
  <si>
    <t>Bray 36_1</t>
  </si>
  <si>
    <t>1.32 (0.73-2.12)</t>
  </si>
  <si>
    <t>21.6 (12.22-31.6)</t>
  </si>
  <si>
    <t>Bray 35</t>
  </si>
  <si>
    <t>0.96 (0.72-1.31)</t>
  </si>
  <si>
    <t>15.7 (12.6-19.5)</t>
  </si>
  <si>
    <t>Bray 18</t>
  </si>
  <si>
    <t>0.56 (0.40-0.78)</t>
  </si>
  <si>
    <t>9.2 (6.90-11.7)</t>
  </si>
  <si>
    <t>landslide</t>
  </si>
  <si>
    <t>Bray 16_1</t>
  </si>
  <si>
    <t>0.63 (0.50-0.88)</t>
  </si>
  <si>
    <t>10.4 (8.32-12.8)</t>
  </si>
  <si>
    <t>Bray 6</t>
  </si>
  <si>
    <t>0.10 (0.70-0.18)</t>
  </si>
  <si>
    <t>1.63 (0.57-2.80)</t>
  </si>
  <si>
    <t>Bray 2</t>
  </si>
  <si>
    <t>0.27 (0.05-0.55)</t>
  </si>
  <si>
    <t>4.39 (0.77-8.70)</t>
  </si>
  <si>
    <t>C. Peaks 74</t>
  </si>
  <si>
    <t>1.70 (1.20-3.10)</t>
  </si>
  <si>
    <t>72 +25/-32</t>
  </si>
  <si>
    <t xml:space="preserve">Schmidt hammer surface exposure age from the Couldy Peaks terraces site. Uncertainties 2 sigma. </t>
  </si>
  <si>
    <t>Bray 28</t>
  </si>
  <si>
    <t>1.10 (0.70-1.50)</t>
  </si>
  <si>
    <t>17.2 (12.2-22.6)</t>
  </si>
  <si>
    <t>Bray-RW 62_1</t>
  </si>
  <si>
    <t>0.25 (0.14-0.48)</t>
  </si>
  <si>
    <t>17.75 (12.09-23.2)</t>
  </si>
  <si>
    <t>Bray-RW 61</t>
  </si>
  <si>
    <t>0.48 (0.40-0.61)</t>
  </si>
  <si>
    <t>7.90 (7.42-8.46)</t>
  </si>
  <si>
    <t>Bray-RW 54</t>
  </si>
  <si>
    <t>0.11 (0.08-0.16)</t>
  </si>
  <si>
    <t>1.86 (1.45-2.31)</t>
  </si>
  <si>
    <t>Bray-RW 52</t>
  </si>
  <si>
    <t>0.04 (0.01-0.11)</t>
  </si>
  <si>
    <t>1.90 (0.26-4.35)</t>
  </si>
  <si>
    <t>48 +32/-20</t>
  </si>
  <si>
    <t>C. Peaks 93</t>
  </si>
  <si>
    <t>0.78 (0.39-1.63)</t>
  </si>
  <si>
    <t>5.58 (4.74-6.50)</t>
  </si>
  <si>
    <t>7.7 +6.2/-4.1</t>
  </si>
  <si>
    <t>Bray 4_1</t>
  </si>
  <si>
    <t>0.63 (0.07-1.53)</t>
  </si>
  <si>
    <t>15.32 (1.73-37.7)</t>
  </si>
  <si>
    <t>Bray-RW 64</t>
  </si>
  <si>
    <t>&lt;0.39 (0.05-0.87)</t>
  </si>
  <si>
    <t>6.58 (0.857-13.7)</t>
  </si>
  <si>
    <t>&gt;16.4 ± 2.0</t>
  </si>
  <si>
    <t>Bray-RW 58</t>
  </si>
  <si>
    <t>&lt;0.64 (0.51-0.78)</t>
  </si>
  <si>
    <t>16.04 (12.78-19.35)</t>
  </si>
  <si>
    <t>&gt;24.8 ± 2.7</t>
  </si>
  <si>
    <t>C. Peaks 89</t>
  </si>
  <si>
    <t>1.26 (0.64-2.30)</t>
  </si>
  <si>
    <t>59.33 (39.85-85.2)</t>
  </si>
  <si>
    <t>C. Peaks 107</t>
  </si>
  <si>
    <t>1.00 (0.51-2.12)</t>
  </si>
  <si>
    <t>9.52 (4.09-17.53)</t>
  </si>
  <si>
    <t>11.7 +6.8/-5.5</t>
  </si>
  <si>
    <t>C. Peaks 810</t>
  </si>
  <si>
    <t>0.77 (0.38-1.50)</t>
  </si>
  <si>
    <t>5.47 (4.90-6.21)</t>
  </si>
  <si>
    <t>C. Peaks 103</t>
  </si>
  <si>
    <t>0.54 (0.08-1.60)</t>
  </si>
  <si>
    <t>1.88 (0.31-4.05)</t>
  </si>
  <si>
    <t>3.7 +3.5/-2</t>
  </si>
  <si>
    <t>C. Peaks 102</t>
  </si>
  <si>
    <t>0.32 (0.23-0.60)</t>
  </si>
  <si>
    <t>23.6 (19.9-27.8)</t>
  </si>
  <si>
    <t>Bray-RW 57</t>
  </si>
  <si>
    <t>&gt;0.36 (0.33-0.40)</t>
  </si>
  <si>
    <t>8.93 (8.18-9.84)</t>
  </si>
  <si>
    <t>&lt;24.8 ± 2.7</t>
  </si>
  <si>
    <t>Bray-RW 55</t>
  </si>
  <si>
    <t>&gt;0.10 (0.06-0.14)</t>
  </si>
  <si>
    <t>1.70 (1.40-2.10)</t>
  </si>
  <si>
    <t>&lt;16.4 ± 2.0</t>
  </si>
  <si>
    <t>Bray 34_1</t>
  </si>
  <si>
    <t>&gt;0.64 (0.52-1.28)</t>
  </si>
  <si>
    <t>30 (16.4-46.2)</t>
  </si>
  <si>
    <t>&lt;48 +32/-20</t>
  </si>
  <si>
    <t>Bray 10_1</t>
  </si>
  <si>
    <t>&gt;0.79 (0.29-1.79)</t>
  </si>
  <si>
    <t>36.9 (15.8-61.86)</t>
  </si>
  <si>
    <t>Bray 9</t>
  </si>
  <si>
    <t>&gt;0.18 (0.14-0.25)</t>
  </si>
  <si>
    <t>3.01 (2.48-3.63)</t>
  </si>
  <si>
    <t>Bray 8</t>
  </si>
  <si>
    <t>&gt;0.22 (0.08-0.39)</t>
  </si>
  <si>
    <t>3.66 (1.32-6.07)</t>
  </si>
  <si>
    <t>Trenches interval 1</t>
  </si>
  <si>
    <t>2.5 (0-5)</t>
  </si>
  <si>
    <t>SR is an average across 6 strands from 6 trenches. Reported as 0.5 mm/yr but assume is a typo and should be 2.5 mm/yr. No offset uncertainties reported so added ±0.25 m for net SR calculation. Incremental SR. Uses a dip of 50? No evidence of SS so assume DSR=NSR.</t>
  </si>
  <si>
    <t>Time interval between two tephra marker beds (Present day-Tarawera). Tephra ID method and time interval uncertainty not reported.</t>
  </si>
  <si>
    <t>Berryman et al. (1998)</t>
  </si>
  <si>
    <t>Trenches interval 2</t>
  </si>
  <si>
    <t>11.5 (10.8-12.3)</t>
  </si>
  <si>
    <t>SR is an average across 6 strands from 6 trenches. No offset uncertainties reported so added ±0.25 m for net SR calculation. Incremental SR. Uses a dip of 50? No evidence of SS so assume DSR=NSR.</t>
  </si>
  <si>
    <t>Time interval between two tephra marker beds (Tarawera-Kaharoa). Tephra ID method and time interval uncertainty not reported.</t>
  </si>
  <si>
    <t>Trenches interval 3</t>
  </si>
  <si>
    <t>1.1 (0.8-1.2)</t>
  </si>
  <si>
    <t>Time interval between two tephra marker beds (Kaharoa-Whakatane). Tephra ID method and time interval uncertainty not reported.</t>
  </si>
  <si>
    <t>Trenches interval 4</t>
  </si>
  <si>
    <t>2.4 (2.3-2.4)</t>
  </si>
  <si>
    <t>SR is an average across 6 strands from 6 trenches. No offset uncertainties reported so added ±0.25 m for net SR calculation. Uses a dip of 50? No evidence of SS so assume DSR=NSR.</t>
  </si>
  <si>
    <t>Uses tephra marker beds (Present day-Whakatane). Tephra ID method not reported.</t>
  </si>
  <si>
    <t>-160 ± 20</t>
  </si>
  <si>
    <t xml:space="preserve">1.2 (0.7-1.7) </t>
  </si>
  <si>
    <t>Rate classification: inferred. Scarp profiles were measured by RTK, dGPS, and/or total station, fault dips were measured on outcrops/in trenches, estimated via projection across landforms or inferred from fault plane solutions. Net SR was calculated using Monte Carlo simulations and a dip of 60 ± 5.</t>
  </si>
  <si>
    <t>Rate classification: minimum. Scarp profiles were measured by RTK, dGPS, and/or total station, fault dips were measured on outcrops/in trenches, estimated via projection across landforms or inferred from fault plane solutions. Net SR was calculated using Monte Carlo simulations and a dip of 60 ± 5. Calculated SR a bit different from reported SR</t>
  </si>
  <si>
    <t>Rate classification: minimum. Scarp profiles were measured by RTK, dGPS, and/or total station, fault dips were measured on outcrops/in trenches, estimated via projection across landforms or inferred from fault plane solutions. Net SR was calculated using Monte Carlo simulations and a dip of 60 ± 5.</t>
  </si>
  <si>
    <t>Rate classification: good. Scarp profiles were measured by RTK, dGPS, and/or total station, fault dips were measured on outcrops/in trenches, estimated via projection across landforms or inferred from fault plane solutions. Net SR was calculated using Monte Carlo simulations and a dip of 50-65 (preferred 55-60).</t>
  </si>
  <si>
    <t>Rate classification: maximum. Scarp profiles were measured by RTK, dGPS, and/or total station, fault dips were measured on outcrops/in trenches, estimated via projection across landforms or inferred from fault plane solutions. Net SR was calculated using Monte Carlo simulations and a dip of 50-65 (preferred 55-60). Age is a minimum so reported SR must be a maximum.</t>
  </si>
  <si>
    <t>Rate classification: best. Scarp profiles were measured by RTK, dGPS, and/or total station, fault dips were measured on outcrops/in trenches, estimated via projection across landforms or inferred from fault plane solutions. Net SR was calculated using Monte Carlo simulations and a dip of 33 ± 5.</t>
  </si>
  <si>
    <t>Rate classification: good. Scarp profiles were measured by RTK, dGPS, and/or total station, fault dips were measured on outcrops/in trenches, estimated via projection across landforms or inferred from fault plane solutions. Net SR was calculated using Monte Carlo simulations and a dip of 33 ± 5</t>
  </si>
  <si>
    <t>Rate classification: good. Scarp profiles were measured by RTK, dGPS, and/or total station, fault dips were measured on outcrops/in trenches, estimated via projection across landforms or inferred from fault plane solutions. Net SR was calculated using Monte Carlo simulations and a dip of 33 ± 5.</t>
  </si>
  <si>
    <t>Rate classification: minimum. Scarp profiles were measured by RTK, dGPS, and/or total station, fault dips were measured on outcrops/in trenches, estimated via projection across landforms or inferred from fault plane solutions. Net SR was calculated using Monte Carlo simulations and a dip of 33 ± 5.Age is a maximum so reported SR must be a minimum</t>
  </si>
  <si>
    <t>Rate classification: minimum. Scarp profiles were measured by RTK, dGPS, and/or total station, fault dips were measured on outcrops/in trenches, estimated via projection across landforms or inferred from fault plane solutions.Net SR was calculated using Monte Carlo simulations and a dip of 33 ± 5.Calculated SR a bit different to reported SR. Age is a maximum so reported SR must be a minimum</t>
  </si>
  <si>
    <t>Rate classification: good. Scarp profiles were measured by RTK, dGPS, and/or total station, fault dips were measured on outcrops/in trenches, estimated via projection across landforms or inferred from fault plane solutions. Net SR was calculated using Monte Carlo simulations and a dip of 30-40 (preferred 34-36).</t>
  </si>
  <si>
    <t>Rate classification: good. Note max reported SR is &lt; the min and preferred SR. Scarp profiles were measured by RTK, dGPS, and/or total station, fault dips were measured on outcrops/in trenches, estimated via projection across landforms or inferred from fault plane solutions. Net SR was calculated using Monte Carlo simulations and a dip of 30-40 (preferred 34-36).</t>
  </si>
  <si>
    <t>Rate classification: inferred. Scarp profiles were measured by RTK, dGPS, and/or total station, fault dips were measured on outcrops/in trenches, estimated via projection across landforms or inferred from fault plane solutions. Net SR was calculated using Monte Carlo simulations and a dip of 30-40 (preferred 34-36).</t>
  </si>
  <si>
    <t>Rate classification: inferred. Scarp profiles were measured by RTK, dGPS, and/or total station, fault dips were measured on outcrops/in trenches, estimated via projection across landforms or inferred from fault plane solutions. Net SR was calculated using Monte Carlo simulations and a dip of 50-65 (preferred 55-60).</t>
  </si>
  <si>
    <t>Rate classification: maximum. Scarp profiles were measured by RTK, dGPS, and/or total station, fault dips were measured on outcrops/in trenches, estimated via projection across landforms or inferred from fault plane solutions.Net SR was calculated using Monte Carlo simulations and a dip of 50-65 (preferred 55-60). Age is a minimum so reported SR must be a maximum</t>
  </si>
  <si>
    <t>Rate classification: minimum. Scarp profiles were measured by RTK, dGPS, and/or total station, fault dips were measured on outcrops/in trenches, estimated via projection across landforms or inferred from fault plane solutions. Net SR was calculated using Monte Carlo simulations and a dip of 50-65 (preferred 55-60). Age is a maximum so reported SR must be a minimum.</t>
  </si>
  <si>
    <t>Rate classification: best. Scarp profiles were measured by RTK, dGPS, and/or total station, fault dips were measured on outcrops/in trenches, estimated via projection across landforms or inferred from fault plane solutions. Net SR was calculated using Monte Carlo simulations and a dip of 60 ± 5.</t>
  </si>
  <si>
    <t xml:space="preserve">Rate classification: minimum. Scarp profiles were measured by RTK, dGPS, and/or total station, fault dips were measured on outcrops/in trenches, estimated via projection across landforms or inferred from fault plane solutions. Net SR was calculated using Monte Carlo simulations and a dip of 60 ± 5. </t>
  </si>
  <si>
    <t>Haast T2/T3 riser</t>
  </si>
  <si>
    <t>Haast T2 channel 2</t>
  </si>
  <si>
    <t>Haast T1 channel 1</t>
  </si>
  <si>
    <t>&gt;8</t>
  </si>
  <si>
    <t>c. 9</t>
  </si>
  <si>
    <t>Okuru channel 1</t>
  </si>
  <si>
    <t>Okuru channel 2</t>
  </si>
  <si>
    <t>7.5 ± 2</t>
  </si>
  <si>
    <t>16 m dextral offset assumed to be 2 events from nearby trenching. Previously reported and re-measured using back-slipped RTK map. Lower than channels so consider could have been trimmed.</t>
  </si>
  <si>
    <t>Smalled dextral offset from back-slip of RTK map. No vertical component mentioned.</t>
  </si>
  <si>
    <t>Backslipped RTK map, matching 18.7 ± 2 m offset of channels from profiiles on upthrown and downthrown side and assumed to be two events from nearby trenching. Vertical offset of 0.9 m mentioned but not included in SED.</t>
  </si>
  <si>
    <t>Backslipped RTK map, matching 28 ± 3 m channel offset from profiiles on upthrown and downthrown side. Assumed to be 3 events from trenching. Vertical offset of 1.3 m mentioned but not included in SED.</t>
  </si>
  <si>
    <t>Wadsworth Trench</t>
  </si>
  <si>
    <t>2742-1811 cal. yr BP</t>
  </si>
  <si>
    <t>2753-2350 cal. yr BP</t>
  </si>
  <si>
    <t>&gt;3063 cal. yr BP</t>
  </si>
  <si>
    <t>Dillon Trench</t>
  </si>
  <si>
    <t>4841-3889</t>
  </si>
  <si>
    <t>5611-4445</t>
  </si>
  <si>
    <t>4236-2618</t>
  </si>
  <si>
    <t>c</t>
  </si>
  <si>
    <t>Zachariasen et al. (2006)</t>
  </si>
  <si>
    <t>1150-1400</t>
  </si>
  <si>
    <t>Dillon Trench stream</t>
  </si>
  <si>
    <t>&lt;3.6-4.7</t>
  </si>
  <si>
    <t>&lt;4.15 (3.6-4.7)</t>
  </si>
  <si>
    <t>23 ± 2.5</t>
  </si>
  <si>
    <t>5.611-5.321</t>
  </si>
  <si>
    <t>Offset from Lensen (1968) and Zachariasen et al. added uncertainty of ±2.5 m. Maximum rate because minimum offset of stream deposits in trench. However, is only from one strand.</t>
  </si>
  <si>
    <t>From oldest dated material in trench. Age from charcoal, 2 sigma uncertainties, from SHCal04.</t>
  </si>
  <si>
    <t>Hossack Station Offset A SED</t>
  </si>
  <si>
    <t>2.4 ± 0.4</t>
  </si>
  <si>
    <t>No mention of V displacement, so assume pure RL.</t>
  </si>
  <si>
    <t>12 ± 2 m offset inferred to be from 5 events dated at the Greenburn trench site (Hatem et al., 2019). Also considered could be 4 events, which would give 3.0 ± 0.5 m.</t>
  </si>
  <si>
    <t>Hokuri Creek channels 1</t>
  </si>
  <si>
    <t>Hokuri Creek channels 2</t>
  </si>
  <si>
    <t>Measured using tape measure but no uncertainties reported. 0.4 m vertical reported but considered to mainly be the effect of offset topography.</t>
  </si>
  <si>
    <t>From offset of 17 m assumed to be from 2 events. Measured using tape measure but no uncertainties reported. 0.9 m vertical reported but not discussed.</t>
  </si>
  <si>
    <t>Sutherland and Norris (1995)</t>
  </si>
  <si>
    <t>Gaunt Creek north bank exposure</t>
  </si>
  <si>
    <t>1710-1930 AD</t>
  </si>
  <si>
    <t>De Pascale and Langridge (2012)</t>
  </si>
  <si>
    <t>Tartare Creek</t>
  </si>
  <si>
    <t>De Pascale et al. (2014)</t>
  </si>
  <si>
    <t>6.875 ± 1.8</t>
  </si>
  <si>
    <t>Shutter ridge margin</t>
  </si>
  <si>
    <t>7.33 ± 2.7</t>
  </si>
  <si>
    <t>12 ± 2 m displacement assumed to be 2 events. SED not reported so divided by 2 and retained uncertainty. Uncertainty method not described.</t>
  </si>
  <si>
    <t>True left of fluvial channel</t>
  </si>
  <si>
    <t>13.75 ± 1.8 m displacement averaged from 2 (LiDAR and field) measurements and asssumed to be 2 events. SED not reported so divided by 2 and retained uncertainty. Uncertainties calculated from different projection angles, but not shown.</t>
  </si>
  <si>
    <t>22 ± 2.7 m displacement averaged from 2 (LiDAR and field) measurements and asssumed to be 3 events. SED not reported so divided by 3 and retained uncertainty. Uncertainties calculated from different projection angles, but not shown.</t>
  </si>
  <si>
    <t>Averaged from 4 measurements (2 LiDAR and 2 field). Uncertainties calculated from different projection angles, but not shown.</t>
  </si>
  <si>
    <t>Wee Creek</t>
  </si>
  <si>
    <t>7.7 ± 1.1</t>
  </si>
  <si>
    <t>Averaged from 2 field measurements as not visible in LiDAR due to thick vegetation. Uncertainties possibly calculated from different projection angles, but not shown.</t>
  </si>
  <si>
    <t>McCulloughs Creek</t>
  </si>
  <si>
    <t>≥8.25 ± 3</t>
  </si>
  <si>
    <t>33 ± 3 m displacement averaged from 2 (LiDAR and field) measurements and inferred to be 4-6 events. SED not reported so divided by 4 and retained uncertainty. Uncertainties calculated from different projection angles, but not shown.</t>
  </si>
  <si>
    <t>Lake Paringa cores</t>
  </si>
  <si>
    <t>Lake Mapourika cores</t>
  </si>
  <si>
    <t>Lake Ellery cores</t>
  </si>
  <si>
    <t>Branch River W/A</t>
  </si>
  <si>
    <t>Branch River W/B</t>
  </si>
  <si>
    <t>Branch River B/C</t>
  </si>
  <si>
    <t>Branch River C/D</t>
  </si>
  <si>
    <t>Branch River D/E</t>
  </si>
  <si>
    <t>Branch River E/F</t>
  </si>
  <si>
    <t>The Nose</t>
  </si>
  <si>
    <t>The Prow T1/T2</t>
  </si>
  <si>
    <t>The Prow T2 channel</t>
  </si>
  <si>
    <t>Branch Incremental W/A-W/B</t>
  </si>
  <si>
    <t>Branch Incremental W/B-B/C</t>
  </si>
  <si>
    <t>Branch Incremental B/C-C/D</t>
  </si>
  <si>
    <t>Branch Incremental C/D-D/E</t>
  </si>
  <si>
    <t>Branch Incremental D/E-E/F</t>
  </si>
  <si>
    <t>Branch Incremental E/F-The Nose</t>
  </si>
  <si>
    <t>Branch Incremental Nose-T1/T2</t>
  </si>
  <si>
    <t>Branch Increment T1/T2-T2 chan</t>
  </si>
  <si>
    <t>3.4 +4.0/-1.8</t>
  </si>
  <si>
    <t>2.6 +2.8/-1.7</t>
  </si>
  <si>
    <t>13.5 +17.1/-5.4</t>
  </si>
  <si>
    <t>0.6 +1.8/-0.5</t>
  </si>
  <si>
    <t>15.2 +23.1/-6.2</t>
  </si>
  <si>
    <t>0.4 ± 0.2</t>
  </si>
  <si>
    <t>4.7 +5.2/-1.6</t>
  </si>
  <si>
    <t>9.7 +2.8/-1.2</t>
  </si>
  <si>
    <t>58.5 ± 2</t>
  </si>
  <si>
    <t>54 ± 2</t>
  </si>
  <si>
    <t>50.1 +2.6/-1.9</t>
  </si>
  <si>
    <t>37.5 +2.3/-1.4</t>
  </si>
  <si>
    <t>38 +2.2/-1.3</t>
  </si>
  <si>
    <t>26.0 +1.5/-0.8</t>
  </si>
  <si>
    <t>5.0 ± 1.0</t>
  </si>
  <si>
    <t>Terrace riser and channel</t>
  </si>
  <si>
    <t>11.1 ± 0.7</t>
  </si>
  <si>
    <t>4.1 +1.9/-0.9 to 2.7-3.2</t>
  </si>
  <si>
    <t>2.7-3.2 to 1.9-2.1</t>
  </si>
  <si>
    <t>Terrace riser and channel / terrace riser</t>
  </si>
  <si>
    <t>Terrace riser / terrace riser and channels</t>
  </si>
  <si>
    <t>Terrace riser and channels / terrace riser and channels</t>
  </si>
  <si>
    <t>Terrace riser and channels / terrace riser and channel</t>
  </si>
  <si>
    <t>Terrace riser and channel / Channel</t>
  </si>
  <si>
    <t>Channel / Terrace riser</t>
  </si>
  <si>
    <t>Terrace riser / Channel</t>
  </si>
  <si>
    <t>4.9 (4.4-5.4)</t>
  </si>
  <si>
    <t>4.9 (4.4-5.5)</t>
  </si>
  <si>
    <t>3.9 (3.6-4.4)</t>
  </si>
  <si>
    <t>4.2 (3.8-4.7)</t>
  </si>
  <si>
    <t>3 (2.8-3.4)</t>
  </si>
  <si>
    <t>Single grain K feldspar IRSL dating. Ages calculated using a two-step OxCal Bayesian statistical model using OxCal 4.3. Uncertainties 2 sigma.</t>
  </si>
  <si>
    <t>Offset calculated using lower terrace construction method, back-slipping, visually determining uncertainties and consensus from independent measurements from multiple authors. No SR reported so calculated here from reported offset and age. Vert offset not reported so assume horiz SR = net SR.</t>
  </si>
  <si>
    <t>Incremental slip rate calculated using the Markov chain Monte Carlo approach of Zinke et al. (2017, 2019). Vert offset not reported so assume horiz SR = net SR.</t>
  </si>
  <si>
    <t>Rate from oldest three terrace risers at Branch River (Zinke et al., in prep. 2020)</t>
  </si>
  <si>
    <t>Upper Waikato Stream</t>
  </si>
  <si>
    <t>Section 1 Fault 1</t>
  </si>
  <si>
    <t>Section 1 Fault 2</t>
  </si>
  <si>
    <t>Section 1 Fault 3</t>
  </si>
  <si>
    <t>Section 1 Fault 4</t>
  </si>
  <si>
    <t>Section 1 Fault 5</t>
  </si>
  <si>
    <t>Section 2 10/4_2</t>
  </si>
  <si>
    <t>Section 2 10/4_4</t>
  </si>
  <si>
    <t>Section 2 10/4_6</t>
  </si>
  <si>
    <t>0.04 ± 0.02</t>
  </si>
  <si>
    <t>0.11 ± 0.03</t>
  </si>
  <si>
    <t>0.02 ± 0.02</t>
  </si>
  <si>
    <t>0.08 ± 0.03</t>
  </si>
  <si>
    <t>0.01 ± 0.01</t>
  </si>
  <si>
    <t>0.1 ± 0.03</t>
  </si>
  <si>
    <t>0.15 ± 0.05</t>
  </si>
  <si>
    <t>1.6 ± 0.3</t>
  </si>
  <si>
    <t>0.43 ± 0.2</t>
  </si>
  <si>
    <t>5.4 ± 0.7</t>
  </si>
  <si>
    <t>0.54 ± 0.19</t>
  </si>
  <si>
    <t>Section 2 10/4_3</t>
  </si>
  <si>
    <t>Section 2 10/4_5</t>
  </si>
  <si>
    <t>&gt;0.07 ± 0.02</t>
  </si>
  <si>
    <t>&gt;0.02 ± 0.0</t>
  </si>
  <si>
    <t>3.46 ± 0.58</t>
  </si>
  <si>
    <t>3 ± 0.52</t>
  </si>
  <si>
    <t>2.43 ± 0.44</t>
  </si>
  <si>
    <t>1.44 ± 0.3</t>
  </si>
  <si>
    <t>0.02 ± 0.01</t>
  </si>
  <si>
    <t>2.3 ± 0.42</t>
  </si>
  <si>
    <t>0.21 ± 0.08</t>
  </si>
  <si>
    <t>0.13 ± 0.04</t>
  </si>
  <si>
    <t>0.07 ± 0.03</t>
  </si>
  <si>
    <t>2.54 ± 0.23</t>
  </si>
  <si>
    <t>25.4 ± 0.2</t>
  </si>
  <si>
    <t>&gt;133</t>
  </si>
  <si>
    <r>
      <t>Offset measured by TLS? Converted to a dip SR and considered a net SR using dip 50</t>
    </r>
    <r>
      <rPr>
        <sz val="10"/>
        <color theme="1"/>
        <rFont val="Calibri"/>
        <family val="2"/>
      </rPr>
      <t>°</t>
    </r>
    <r>
      <rPr>
        <sz val="10"/>
        <color theme="1"/>
        <rFont val="Calibri"/>
        <family val="2"/>
        <scheme val="minor"/>
      </rPr>
      <t>-70°.</t>
    </r>
  </si>
  <si>
    <t>Offset measured by TLS? Converted to a dip SR and considered a net SR using dip 50°-70°.</t>
  </si>
  <si>
    <t>Offset measured by TLS? Converted to a dip SR and considered a net SR using dip 50°-70°. Can't reproduce SR.</t>
  </si>
  <si>
    <t>Identification method not explicitly stated. No age uncertainties given and unclear if used for slip rate calculations.</t>
  </si>
  <si>
    <r>
      <t>G</t>
    </r>
    <r>
      <rPr>
        <sz val="10"/>
        <color theme="1"/>
        <rFont val="Calibri"/>
        <family val="2"/>
      </rPr>
      <t>ó</t>
    </r>
    <r>
      <rPr>
        <sz val="10"/>
        <color theme="1"/>
        <rFont val="Calibri"/>
        <family val="2"/>
        <scheme val="minor"/>
      </rPr>
      <t>mez-Vasconcelos et al. (2016)</t>
    </r>
  </si>
  <si>
    <t>Gómez-Vasconcelos et al. (2016)</t>
  </si>
  <si>
    <t>Section 2 10/4_3 Wahianoa</t>
  </si>
  <si>
    <t>Section 2 10/4_5 Wahianoa</t>
  </si>
  <si>
    <t>0.11 ± 0.04</t>
  </si>
  <si>
    <t>0.06 ± 0.02</t>
  </si>
  <si>
    <t>0.69 ± 0.2</t>
  </si>
  <si>
    <t>2.04 ± 0.3</t>
  </si>
  <si>
    <t>2.2 ± 0.32</t>
  </si>
  <si>
    <t>Offset measured by TLS? Converted to a dip SR and considered a net SR using dip 50°-70°. Unclear if this is Wahianoa or Upper Waikato Stream Fault. SR is the same.</t>
  </si>
  <si>
    <t>Matakitaki Trench 1</t>
  </si>
  <si>
    <t>Matakitaki Trench 2</t>
  </si>
  <si>
    <t>1700-1843 AD</t>
  </si>
  <si>
    <t>Yetton (2002), Howarth et al. (2018)</t>
  </si>
  <si>
    <t>1516-1837 AD</t>
  </si>
  <si>
    <t>Maruia trench</t>
  </si>
  <si>
    <t>&lt;1625-1399</t>
  </si>
  <si>
    <t>Two charcoal ages predate MRE. Youngest age recalibrated (SHCAL13) by Howarth et al. (2018).</t>
  </si>
  <si>
    <t>1.3
0.25</t>
  </si>
  <si>
    <t>3
2</t>
  </si>
  <si>
    <t>Adjacent to trench with poorly dated MRE.</t>
  </si>
  <si>
    <t>Channels and riser</t>
  </si>
  <si>
    <t>Measurement method not stated but assumed to be tape measure.</t>
  </si>
  <si>
    <t>Blue Grey River trench</t>
  </si>
  <si>
    <t>1567-1843 AD</t>
  </si>
  <si>
    <t>1.0 ± 0.3</t>
  </si>
  <si>
    <t>Assume RL SED = net SED</t>
  </si>
  <si>
    <t>Blue Grey River riser</t>
  </si>
  <si>
    <t>Ahaura River trench</t>
  </si>
  <si>
    <t>802-1642 AD</t>
  </si>
  <si>
    <t>Yetton et al. (1998), Howarth et al. (2018)</t>
  </si>
  <si>
    <t>Yetton (1998), Howarth et al. (2018)</t>
  </si>
  <si>
    <t>Crane Creek trench</t>
  </si>
  <si>
    <t>1110-1601 AD</t>
  </si>
  <si>
    <t>Haupiri River pit</t>
  </si>
  <si>
    <t>1689-1843 AD</t>
  </si>
  <si>
    <t>Inchbonnie Harris 5 trench</t>
  </si>
  <si>
    <t>1691-1841 AD</t>
  </si>
  <si>
    <t>Langridge et al. (2010), Howarth et al. (2018)</t>
  </si>
  <si>
    <t>1703-1845 AD</t>
  </si>
  <si>
    <t>1684-1814 AD</t>
  </si>
  <si>
    <t>Kokatahi River trench 1</t>
  </si>
  <si>
    <t>Kokatahi River trench 2</t>
  </si>
  <si>
    <t>Toaroha River Trench 1</t>
  </si>
  <si>
    <t>Toaroha River Trench 2</t>
  </si>
  <si>
    <t>1687-1841 AD</t>
  </si>
  <si>
    <t>1624-1933 AD</t>
  </si>
  <si>
    <t>1696-1844 AD</t>
  </si>
  <si>
    <t>Mangatangi</t>
  </si>
  <si>
    <t>Pokeno</t>
  </si>
  <si>
    <t>Aka Aka</t>
  </si>
  <si>
    <t>Pukekohe</t>
  </si>
  <si>
    <t>Nomal</t>
  </si>
  <si>
    <t>Glenbrook</t>
  </si>
  <si>
    <t>Aka Aka Road</t>
  </si>
  <si>
    <t>0.015 (0.003-0.026)</t>
  </si>
  <si>
    <t>2-10</t>
  </si>
  <si>
    <t>c. 650</t>
  </si>
  <si>
    <t>Offset measured from profile using LiDAR data. Dip SR calculated by author using CFM dip. Assume Dip SR = Net SR.</t>
  </si>
  <si>
    <t>Ar-Ar date from Briggs et al. (1994). No uncertainty provided.</t>
  </si>
  <si>
    <t>O'Leary Road</t>
  </si>
  <si>
    <t>100-120</t>
  </si>
  <si>
    <t>900-1200</t>
  </si>
  <si>
    <t>Townsend et al. (In prep.) South Auckland Geomorphology Map</t>
  </si>
  <si>
    <t>0.103 (0.075-0.132)</t>
  </si>
  <si>
    <t>Drury</t>
  </si>
  <si>
    <t>Razorback Road</t>
  </si>
  <si>
    <t>0.007 (0.004-0.011)</t>
  </si>
  <si>
    <t>1190-1350</t>
  </si>
  <si>
    <t>Offset measured from profile using LiDAR data. Dip SR calculated by author using CFM dip. Assume Dip SR = Net SR. Authors note Beca report has SR of 0.03 m/yr.</t>
  </si>
  <si>
    <t>St Stephens</t>
  </si>
  <si>
    <t>Mill Road</t>
  </si>
  <si>
    <t>0.007 (0.005-0.009)</t>
  </si>
  <si>
    <t>Lava plateau</t>
  </si>
  <si>
    <t>Rogers Road</t>
  </si>
  <si>
    <t>0.034 (0.017-0.051)</t>
  </si>
  <si>
    <t>20-35</t>
  </si>
  <si>
    <t>Waiau Pa Road</t>
  </si>
  <si>
    <t>0.044 (0.004-0.084)</t>
  </si>
  <si>
    <t>Dune deposits</t>
  </si>
  <si>
    <t>125-1000</t>
  </si>
  <si>
    <t>Age from QMAP.</t>
  </si>
  <si>
    <t>A.R.A. Drive</t>
  </si>
  <si>
    <t>0.095 (0.016-0.174)</t>
  </si>
  <si>
    <t>30-125</t>
  </si>
  <si>
    <t>Haast South trench</t>
  </si>
  <si>
    <t>Okuru North trench</t>
  </si>
  <si>
    <t>Okuru South trench</t>
  </si>
  <si>
    <t>Turnbull trench</t>
  </si>
  <si>
    <t>Kokatahi trenches combined</t>
  </si>
  <si>
    <t>1029-1185 AD</t>
  </si>
  <si>
    <t>1156-1404 AD</t>
  </si>
  <si>
    <t>1377-1840 AD</t>
  </si>
  <si>
    <t>Okuru trenches combined</t>
  </si>
  <si>
    <t>1502-1795 AD</t>
  </si>
  <si>
    <t>1345-1645 AD</t>
  </si>
  <si>
    <t>946-1390 AD</t>
  </si>
  <si>
    <t>1147-1836 AD</t>
  </si>
  <si>
    <t>995-1161 AD</t>
  </si>
  <si>
    <t>Tophouse Trench</t>
  </si>
  <si>
    <t>200-1840 AD</t>
  </si>
  <si>
    <t>Staples 1 trench</t>
  </si>
  <si>
    <t>Staples 2 trench</t>
  </si>
  <si>
    <t>Staples 3 trench</t>
  </si>
  <si>
    <t>1808-1848 AD</t>
  </si>
  <si>
    <t>1615-1848 AD</t>
  </si>
  <si>
    <t>1804-1848 AD</t>
  </si>
  <si>
    <t>1700-1790 AD</t>
  </si>
  <si>
    <t>1258-1434 AD</t>
  </si>
  <si>
    <t>1813-1848 AD</t>
  </si>
  <si>
    <t>1673-1792 AD</t>
  </si>
  <si>
    <t>1250-1580 AD</t>
  </si>
  <si>
    <t>1084-1276 AD</t>
  </si>
  <si>
    <t>&gt;4</t>
  </si>
  <si>
    <t>C14 age and historical age constraint. Calibrated using SHCAL20 and an OxCal model.</t>
  </si>
  <si>
    <t>209 ± 130</t>
  </si>
  <si>
    <t>OxCal modelling of 3 inter-event times. Uncertainty 1 sigma.</t>
  </si>
  <si>
    <t>Berryman et al. (1992), Langridge et al. (2010)</t>
  </si>
  <si>
    <t>Berryman, K.R.; Beanland, S.; Cooper, A.F.; Cutten, H.N.; Norris, R.J.; Wood, P.R. 1992 The Alpine Fault, New Zealand : variation in Quaternary structural style and geomorphic expression. Annales Tectonicae, Special issue - supplement to v.6: 126-163</t>
  </si>
  <si>
    <t>Inchbonnie channel</t>
  </si>
  <si>
    <t>Lake Poerua trees 1.7-1.9 m</t>
  </si>
  <si>
    <t>Lake Poerua trees 2.4-2.6 m</t>
  </si>
  <si>
    <t>1766-1807 AD</t>
  </si>
  <si>
    <t>1459-1626 AD</t>
  </si>
  <si>
    <t>Weighted mean average from C14 ages for three tree stumps. Calibrated using SHCAL04.</t>
  </si>
  <si>
    <t>Langridg et al. (2012)</t>
  </si>
  <si>
    <t>Matakitaki River channel</t>
  </si>
  <si>
    <r>
      <rPr>
        <sz val="10"/>
        <color theme="1"/>
        <rFont val="Calibri"/>
        <family val="2"/>
      </rPr>
      <t>≤3</t>
    </r>
    <r>
      <rPr>
        <sz val="10"/>
        <color theme="1"/>
        <rFont val="Calibri"/>
        <family val="2"/>
        <scheme val="minor"/>
      </rPr>
      <t xml:space="preserve"> ± 1</t>
    </r>
  </si>
  <si>
    <t>6 ± 1 m offset inferred to be 2 or more events from the nearby trench. Measurement method not stated but assumed to be tape measure.</t>
  </si>
  <si>
    <t>Rainbow Station trench 1</t>
  </si>
  <si>
    <t>Rainbow Station trench 2</t>
  </si>
  <si>
    <t>Nicol and Van Dissen (2018)</t>
  </si>
  <si>
    <t>2720-1990 cal. yr BP</t>
  </si>
  <si>
    <t>2112-1951 cal. yr BP</t>
  </si>
  <si>
    <t>1750-970 cal. yr BP</t>
  </si>
  <si>
    <t>Bracketed by C14 ages calibrated using SHCAL04. 2 sigma uncertainties.</t>
  </si>
  <si>
    <t>Maximum age from Tophouse trench 6 km to west. C14 ages calibrated using SHCAL04. 2 sigma uncertainties.</t>
  </si>
  <si>
    <t>Rainbow Station SED 1</t>
  </si>
  <si>
    <t>Rainbow Station SED 2</t>
  </si>
  <si>
    <t>Rainbow Station SED 3</t>
  </si>
  <si>
    <t>Rainbow Station SED 4</t>
  </si>
  <si>
    <t>5 ± 0.5</t>
  </si>
  <si>
    <t>5 ± 1.5</t>
  </si>
  <si>
    <t>7 ± 2.5</t>
  </si>
  <si>
    <t>Spring Creek SED 2-5</t>
  </si>
  <si>
    <t>Spring Creek SED 6-15</t>
  </si>
  <si>
    <t>Spring Creek SED 16-21</t>
  </si>
  <si>
    <t>7.7 ± 1.6</t>
  </si>
  <si>
    <t>5 ± 3.3</t>
  </si>
  <si>
    <t>5.1 ± 3.5</t>
  </si>
  <si>
    <t>Measurement method not stated but assumed to use LiDAR data. 1 sigma uncertainties</t>
  </si>
  <si>
    <t xml:space="preserve">Measurement method not stated but assumed to use LiDAR data. From an offset of 10 ± 2 m and inferred to be 2 events. 1 sigma uncertainties. </t>
  </si>
  <si>
    <t xml:space="preserve">Measurement method not stated but assumed to use LiDAR data. From an offset of 10.5 ± 2 m and inferred to be 2 events. 1 sigma uncertainties. </t>
  </si>
  <si>
    <t>Measurement method not stated but assumed to use LiDAR data. From an offset of 17 ± 3 m and inferred to be 3 events. 1 sigma uncertainties</t>
  </si>
  <si>
    <t xml:space="preserve">Measurement method not stated but assumed to use LiDAR data. From monte carlo sampling of multiple offsets. 1 sigma uncertainties. </t>
  </si>
  <si>
    <t xml:space="preserve">Measurement method not stated but assumed to use LiDAR data. From monte carlo sampling of multiple offsets inferred to be 2 events. 1 sigma uncertainties. </t>
  </si>
  <si>
    <t xml:space="preserve">Measurement method not stated but assumed to use LiDAR data. From monte carlo sampling of multiple offsets inferred to be 3 events. 1 sigma uncertainties. </t>
  </si>
  <si>
    <t>Bracketed by C14 ages and historical age constraint. Calibration curve and uncertainties not stated.</t>
  </si>
  <si>
    <t>Renwick trench</t>
  </si>
  <si>
    <t>&lt;1510-1670 AD</t>
  </si>
  <si>
    <t>&gt;1020-1190</t>
  </si>
  <si>
    <t>Yetton (2003)</t>
  </si>
  <si>
    <t>Marshlands trench 1</t>
  </si>
  <si>
    <t>&lt;900-1160 AD</t>
  </si>
  <si>
    <t>C14 age from branch post-dating last event. Calibrated using SHCAL98. 2 sigma uncertainties.</t>
  </si>
  <si>
    <t>Yetton (2005)</t>
  </si>
  <si>
    <t>Wairau combined</t>
  </si>
  <si>
    <t>Wairau Combined</t>
  </si>
  <si>
    <t>5.8 ± 2</t>
  </si>
  <si>
    <t xml:space="preserve">Assume RL SED = net SED. </t>
  </si>
  <si>
    <t>Risers, channels, beach ridges</t>
  </si>
  <si>
    <t>Calculated from stochastic technique using Rainbow Station and Spring Creek data. 1 sigma uncertainty.</t>
  </si>
  <si>
    <t>980-2280</t>
  </si>
  <si>
    <t>Spring Creek combined</t>
  </si>
  <si>
    <t>6.3 ± 3</t>
  </si>
  <si>
    <t>20?</t>
  </si>
  <si>
    <t>Beach ridges</t>
  </si>
  <si>
    <t>Combination method not stated.</t>
  </si>
  <si>
    <t>2060-1800 cal. yr BP</t>
  </si>
  <si>
    <t>7600-4600 cal. yr BP</t>
  </si>
  <si>
    <t>3400-2700 cal. yr BP</t>
  </si>
  <si>
    <t>4400-3700 cal. yr BP</t>
  </si>
  <si>
    <t>C14 ages of shells pre-dating event and peat post-dating event. C14 ages calibrated using SHCAL04 and not stated if shell calibrated using marine curve and Delta R. 2 sigma uncertainties.</t>
  </si>
  <si>
    <t>From an age model constructed using C14 ages of marine deposits. Shells calibrated by Rafter Radiocarbon Lab? Marine curve and Delta R not stated. Relationship between beach ridge age and earthquake event unclear. 2 sigma uncertainties.</t>
  </si>
  <si>
    <t>Spring Creek BR 1</t>
  </si>
  <si>
    <t>Spring Creek BR 2</t>
  </si>
  <si>
    <t>Spring Creek BR 3</t>
  </si>
  <si>
    <t>Spring Creek BR 4</t>
  </si>
  <si>
    <t>1848 AD</t>
  </si>
  <si>
    <t>C14 age of branch pre-dating an event but Yetton (2003) doesn't state which one. Nicol et al. (2018) do not discuss this age. Calibrated using INTCAL98 and SH 1998 offset. 2 sigma uncertainties.</t>
  </si>
  <si>
    <t>C14 ages from peat in fault zone. Is a "modern" age apparently post-dating the event. Nicol et al. (2018) speculate the peat may be ponded against the scarp and post-date event. Calibrated using INTCAL98 and SH 1998 offset. 2 sigma uncertainties.</t>
  </si>
  <si>
    <t>From ponded deposits. Colluvial wedge elsewhere in trench. Charcoal ages from oldest faulted unit and above event horizon. Calibrated using INTCAL98 and SHCAL04. 2 sigma uncertainties.</t>
  </si>
  <si>
    <t>Faulting of ponded deposits.  Colluvial wedge elsewhere in trench. Charcoal ages from below and within ponded sediments. Calibrated using INTCAL98 and SHCAL04. 2 sigma uncertainties.</t>
  </si>
  <si>
    <t>Second event faulting ponded deposits and colluvial wedge elsewhere in trench. Charcoal age from below topsoil. Calibrated using INTCAL98 and SHCAL04. 2 sigma uncertainties.</t>
  </si>
  <si>
    <t>Constrained from event horizons and a colluvial wedge. Preferred age assuming one chacoal is reworked from previous event. Alternative is 2742-1289 cal. yr BP. CCalibrated using INTCAL98 and SHCAL04. 2 sigma uncertainties.</t>
  </si>
  <si>
    <t>Constrained from event horizons. A14 age from charcoal in faulted colluvial wedge. Calibrated using INTCAL98 and SHCAL04. 2 sigma uncertainties.</t>
  </si>
  <si>
    <t>Constrained from an event horizon. Minimum age constraint only. Calibrated using INTCAL98 and SHCAL04. 2 sigma uncertainties.</t>
  </si>
  <si>
    <t>Bracketed by two C14 ages but refined based on sedimentation rate. Calibrated using INTCAL98 and SH 1998 offset. 2 sigma uncertainties.</t>
  </si>
  <si>
    <t>From sedimentation model using C14 ages? Calibrated using INTCAL98 and SH 1998 offset. 2 sigma uncertainties.</t>
  </si>
  <si>
    <t>1410 ± 30</t>
  </si>
  <si>
    <t>6180-5910 cal. yr BP</t>
  </si>
  <si>
    <t>6790-6490 cal. yr BP</t>
  </si>
  <si>
    <t>8610-8330 cal. yr BP</t>
  </si>
  <si>
    <t>Agerage of inter-event times calculated using OxCal V3b2. 2 sigma uncertainties.</t>
  </si>
  <si>
    <t>Upcot 1 trench</t>
  </si>
  <si>
    <t>4000-3000 cal. yr BP</t>
  </si>
  <si>
    <t>1180-980 cal. yr BP</t>
  </si>
  <si>
    <t>Bracketed by two C14 ages, but used the older age based on stratigraphic and deformation interpretations. Calibrated using INTCAL98 and SH 1998 offset. 2 sigma uncertainties.</t>
  </si>
  <si>
    <t>Event interpreted to be considerably younger than C14 age of 510-310 cal. yr BP so inferred to be 1848 Awatere earthquake.</t>
  </si>
  <si>
    <t>1260-960 cal. yr BP</t>
  </si>
  <si>
    <t>1600-1300 cal. yr BP</t>
  </si>
  <si>
    <t>3300-3000 cal. yr BP</t>
  </si>
  <si>
    <t>5300-4650 cal. yr BP</t>
  </si>
  <si>
    <t>5310-4960 cal. yr BP</t>
  </si>
  <si>
    <t>Bracketed by two C14 ages but used the younger age based on stratigraphic and deformation interpretations. Calibrated using OxCal 3.9 and SH 1998 offset. 2 sigma uncertainties.</t>
  </si>
  <si>
    <t>Bracketed by C14 ages but inferred tighter range based on stratigraphic and deformation interpretations. Calibrated using OxCal 3.9 and SH 1998 offset. 2 sigma uncertainties.</t>
  </si>
  <si>
    <t>Bracketed by C14 ages but inferred age based on sedimentation rate. Calibrated using OxCal 3.9 and SH 1998 offset. 2 sigma uncertainties.</t>
  </si>
  <si>
    <t>C14 age of buried soil (pre-event) is 1260-960 cal. yr BP but inferred to be the 1848 Awatere Earthquake.</t>
  </si>
  <si>
    <t>Bracketed by two C14 ages but used another sample age based on stratigraphic and deformation interpretations. Calibrated using OxCal 3.9 and SH 1998 offset. 2 sigma uncertainties.</t>
  </si>
  <si>
    <t>Mason et al. (2006)</t>
  </si>
  <si>
    <t>Upcot 2 trench</t>
  </si>
  <si>
    <t>Langridge, R.M.; Morgenstern, R. 2019a Active fault mapping and fault avoidance zones for Horowhenua District and Palmerston North City. GNS Science consultancy report 2018/75. 72 p</t>
  </si>
  <si>
    <t>Langridge, R.M.; Morgenstern, R. 2019b Active fault mapping and fault avoidance zones for the Manawatu District. GNS Science consultancy report 2019/123. 69 p</t>
  </si>
  <si>
    <t>Rob Langridge</t>
  </si>
  <si>
    <t>QMAP age range for Q1a used (&lt;12 ka); spanning ealy Holocene (7-12)</t>
  </si>
  <si>
    <t>0-11</t>
  </si>
  <si>
    <t>7-12</t>
  </si>
  <si>
    <t>terrace</t>
  </si>
  <si>
    <t>0.27 (0.14-0.41)</t>
  </si>
  <si>
    <t>Arawhata Road N</t>
  </si>
  <si>
    <t>QMAP age range for Q2a used (12-24 ka); could be younger (12-15?)</t>
  </si>
  <si>
    <t>12-24</t>
  </si>
  <si>
    <t>2.5-3.5</t>
  </si>
  <si>
    <t>0.22 (0.12-0.33)</t>
  </si>
  <si>
    <t>0.1-0.3</t>
  </si>
  <si>
    <t>Arawhata Road S</t>
  </si>
  <si>
    <t>Poroutawhao</t>
  </si>
  <si>
    <t>0.13-0.36</t>
  </si>
  <si>
    <t>QMAP age range for Q4a used</t>
  </si>
  <si>
    <t>0.16 (0.12-0.19)</t>
  </si>
  <si>
    <t>Rewa Rewa Street</t>
  </si>
  <si>
    <t>0.23 (0.11-0.35)</t>
  </si>
  <si>
    <t>Tokomaru</t>
  </si>
  <si>
    <t>0.16 (0.05-0.27)</t>
  </si>
  <si>
    <t>Tokomaru River</t>
  </si>
  <si>
    <t>0.04-0.25</t>
  </si>
  <si>
    <t>0.1-0.33</t>
  </si>
  <si>
    <t>0.11-0.17</t>
  </si>
  <si>
    <t>8-10</t>
  </si>
  <si>
    <t>Q5b surface folded</t>
  </si>
  <si>
    <t>71-128</t>
  </si>
  <si>
    <t>Q5b surface</t>
  </si>
  <si>
    <t>Heatherlee</t>
  </si>
  <si>
    <t>Levin Anticline</t>
  </si>
  <si>
    <t>Q5b surface?</t>
  </si>
  <si>
    <t>11.5-13.9</t>
  </si>
  <si>
    <t>Kaimatarau Road</t>
  </si>
  <si>
    <t>Q5b surace? Folded</t>
  </si>
  <si>
    <t>0.2 (0.1-0.24)</t>
  </si>
  <si>
    <t>Motuiti Road</t>
  </si>
  <si>
    <t>Q2a surface faulted</t>
  </si>
  <si>
    <t>an emergent structure</t>
  </si>
  <si>
    <t>Q2a surface</t>
  </si>
  <si>
    <t>0.26 (0.15-0.38)</t>
  </si>
  <si>
    <t>Camerons Line</t>
  </si>
  <si>
    <t>0.2-0.58</t>
  </si>
  <si>
    <t>3-4</t>
  </si>
  <si>
    <t>Q9b surface from QMAP</t>
  </si>
  <si>
    <t>&gt;130?</t>
  </si>
  <si>
    <t>303-339</t>
  </si>
  <si>
    <t>Q9b surface</t>
  </si>
  <si>
    <t>Mt Biggs</t>
  </si>
  <si>
    <t>min rate derived by assuming the offset surface is Q9b</t>
  </si>
  <si>
    <t>Q9b? Surface</t>
  </si>
  <si>
    <t>Mt Stewart</t>
  </si>
  <si>
    <t>assume Q5b or washed by Q5b</t>
  </si>
  <si>
    <t>min rate derived by assuming the offset surface is Q5b</t>
  </si>
  <si>
    <t>0.3 (0.18-0.45)</t>
  </si>
  <si>
    <t>Taipo Road</t>
  </si>
  <si>
    <t>71-128 ka from QMAP</t>
  </si>
  <si>
    <t>Rongotea Road</t>
  </si>
  <si>
    <t>Mt Stewart-Halcombe Fault</t>
  </si>
  <si>
    <t>0.11-0.23</t>
  </si>
  <si>
    <t>0.16-0.39</t>
  </si>
  <si>
    <t>0.15-0.2</t>
  </si>
  <si>
    <t>14-16</t>
  </si>
  <si>
    <t>20-28</t>
  </si>
  <si>
    <t>50-60</t>
  </si>
  <si>
    <t>surface on HW assumed to be Q5b</t>
  </si>
  <si>
    <t>Q5b? Surface</t>
  </si>
  <si>
    <t>Rangiatea</t>
  </si>
  <si>
    <t>Q2a from QMAP</t>
  </si>
  <si>
    <t>shorter profile than for 2116 across only Q2a scarp</t>
  </si>
  <si>
    <t>Mt Taylor Road</t>
  </si>
  <si>
    <t>0.08-0.33</t>
  </si>
  <si>
    <t>Victoria Park</t>
  </si>
  <si>
    <t>Q9a? Surface</t>
  </si>
  <si>
    <t>Highfield Road</t>
  </si>
  <si>
    <t>Q2a surface age from QMAP</t>
  </si>
  <si>
    <t>offset across main scarp</t>
  </si>
  <si>
    <t>Rauoterangi</t>
  </si>
  <si>
    <t>Ulysses Road</t>
  </si>
  <si>
    <t>0.4 (0.19-0.58)</t>
  </si>
  <si>
    <t>Grove Road</t>
  </si>
  <si>
    <t>24-59</t>
  </si>
  <si>
    <t>0.46 (0.24-0.68)</t>
  </si>
  <si>
    <t>Kelvin Grove</t>
  </si>
  <si>
    <t>0.13-0.33</t>
  </si>
  <si>
    <t>4-6</t>
  </si>
  <si>
    <t>Pohangina</t>
  </si>
  <si>
    <t>Yetton, M.D. 2005 Marlborough District Seismic Hazard Investigation Programme - Phase 2b : paleoseismic trench investigation of the active trace of the Wairau section of the Alpine Fault, Marshlands area, Marlborough District. 24 p</t>
  </si>
  <si>
    <t>Bracketing C14 ages calibrated using SHCAL20 and an OsCal model. Inferred to be the 1717 AD earthquake.</t>
  </si>
  <si>
    <t>Bracketing C14 ages calibrated using SHCAL20 and an OxCal model. Inferred to be the 1717 AD earthquake.</t>
  </si>
  <si>
    <t>Bracketing C14 ages calibrated using SHCAL20 and an OxCal model.</t>
  </si>
  <si>
    <t>Bracketing C14 ages calibrated using SHCAL20 and an OxCal model.  Inferred to be the 1717 AD earthquake.</t>
  </si>
  <si>
    <t>Two bracketing wood C14 ages. Recalibrated (SHCAL13) and an OxCal model by Howarth et al. (2018).</t>
  </si>
  <si>
    <t>Three bracketing wood C14 ages. Recalibrated (SHCAL13) and an OxCal model by Howarth et al. (2018).</t>
  </si>
  <si>
    <t>Three wood C14 ages pre-dating the event. Recalibrated (SHCAL13) and an OxCal model using a historical age constraint by Howarth et al. (2018).</t>
  </si>
  <si>
    <t>Berryman et al. (2012a); Clark et al. (2013); Biasi et al. (2015).</t>
  </si>
  <si>
    <t>From an OxCal model using SHCal13.  Inferred to be the 1717 AD earthquake.</t>
  </si>
  <si>
    <t>Two bracketing wood C14 ages. Recalibrated (SHCAL13) and an OxCal model including a historical age constraint by Howarth et al. (2018). Inferred to be the 1717 AD earthquake by Langridge et al. 2020 In press.</t>
  </si>
  <si>
    <t>Two bracketing wood C14 ages. Recalibrated (SHCAL13) and an OxCal model by Howarth et al. (2018). Inferred to be the 1717 AD earthquake by Langridge et al. 2020 In press.</t>
  </si>
  <si>
    <t>From radiocarbon age of peat buried by MRE alluvium. 2 sigma uncertainties. Calibration curve not stated. Inferred to be the 1717 AD earthquake, but Howarth et al. (2018) later questioned age interpretation and instead used SHCAL13 and OxCal to derive an age of 1004 BD to 1764 AD.</t>
  </si>
  <si>
    <t>From an OxCal model using SHCal13. Max age from trench, min age from dendrochronology. Inferred to be the 1717 AD earthquake.</t>
  </si>
  <si>
    <t>Time of death from C14 age and tree ring counting and OxCal modelling using SHCAL04. Inferred to be the 1717 AD earthquake.</t>
  </si>
  <si>
    <t>1080-940 cal. yr BP</t>
  </si>
  <si>
    <t>Bracketed by two C14 ages but inferred to be the 1848 Awatere Earthquake. Calibrated using OxCal 3.9 and SH 1998 offset. 2 sigma uncertainties.</t>
  </si>
  <si>
    <t>Bracketed by two C14 ages and used the minimum and maximum ages from the uncertainties to infer a relatively tight age. Calibrated using OxCal 3.9 and SH 1998 offset. 2 sigma uncertainties.</t>
  </si>
  <si>
    <t>From both trenches, but the evidence is stronger in Upcot 2.</t>
  </si>
  <si>
    <t>From the tighter age from Upcot 2.</t>
  </si>
  <si>
    <t>From Upcot 1</t>
  </si>
  <si>
    <t xml:space="preserve">Nicola Litchfield </t>
  </si>
  <si>
    <t>Yeats (2000)</t>
  </si>
  <si>
    <t>Speargrass Surface is dated at 18 ka by Berryman (1980)?</t>
  </si>
  <si>
    <t>1-1.7</t>
  </si>
  <si>
    <r>
      <rPr>
        <sz val="10"/>
        <rFont val="Calibri"/>
        <family val="2"/>
      </rPr>
      <t>≥</t>
    </r>
    <r>
      <rPr>
        <sz val="9"/>
        <rFont val="Calibri"/>
        <family val="2"/>
      </rPr>
      <t>0.1</t>
    </r>
  </si>
  <si>
    <t>West of Welshman Pakihi</t>
  </si>
  <si>
    <t>Inangahua</t>
  </si>
  <si>
    <t xml:space="preserve">Inangahua </t>
  </si>
  <si>
    <t>Scarp height on Spearglass surface. Does not say how offset was measured. Vertical seperation rate. Assume Net SR is greater than or equal to vetr Sr as no SS SR is reported.</t>
  </si>
  <si>
    <t>Chandler-Yates (2016)</t>
  </si>
  <si>
    <t>Dated the coarse sand and gravel layer which was offset. Says they used SAR method.</t>
  </si>
  <si>
    <t>58.3 ± 3.9</t>
  </si>
  <si>
    <t>Offset stratigraphy</t>
  </si>
  <si>
    <t>2.9 ± 0.1</t>
  </si>
  <si>
    <t>&gt;0.10 (0.09-0.12)</t>
  </si>
  <si>
    <t>Lower Mikonui River</t>
  </si>
  <si>
    <t>South Westland</t>
  </si>
  <si>
    <t>Yeats (2000); Suggate (1988)</t>
  </si>
  <si>
    <t>Manuka surface is estimated to be this age, but this is poorly constrained, could be twice the age or half the age of the estimate (Suggate comms 2000).</t>
  </si>
  <si>
    <t>Offset terrace</t>
  </si>
  <si>
    <t>Manuka Surface</t>
  </si>
  <si>
    <t>White Creek</t>
  </si>
  <si>
    <t>One OSL age from VoW, dates silt on top of moraine.</t>
  </si>
  <si>
    <t>Updates Fougere (2002), offset is different. Multiple offset measurements of lateral moraine (Birchdale moraine) using LiDAR, tape measure and aerial photos. Calculated SR/Dips SR using CFM Dip and Net SR.</t>
  </si>
  <si>
    <t>89 ± 11</t>
  </si>
  <si>
    <t>Lateral moraine</t>
  </si>
  <si>
    <t>274 ± 13
25 ± 4</t>
  </si>
  <si>
    <r>
      <t xml:space="preserve">3.1 </t>
    </r>
    <r>
      <rPr>
        <sz val="10"/>
        <color theme="1"/>
        <rFont val="Calibri"/>
        <family val="2"/>
      </rPr>
      <t>± 0.5</t>
    </r>
  </si>
  <si>
    <t>4 C14 ages were taken on beach ridges away from the fault and used to date beach ridges near the fault. The date is the oldest beach ridge in the area, but along the fault there are a few older ridges, still a max constraining age. The uncertainities given were discussed with Andy (based on C14 uncertainity) as not given in text.</t>
  </si>
  <si>
    <t>Assume offset measured using LiDAR. Values and uncertainity reported in Fig. 8A are different to what was communicated by A. Niocl, but took what Nicol said and have reported here. Calculated SR assumed uncertainity of ± 2, assume Net Sr is a minimum as no vert Sr. Approximate min SR from Srs calculated at sites</t>
  </si>
  <si>
    <t>7.5 ± 0.2</t>
  </si>
  <si>
    <t>Spring Creek Beach Ridge 21</t>
  </si>
  <si>
    <t>Age is estimated using distance from coastline and model. The uncertainities given were discussed with Andy (based on C14 uncertainity) as not given in text.</t>
  </si>
  <si>
    <t>Assume offset measured using LiDAR. Values and uncertainity reported in Fig. 8A are different to what was communicated by A. Nicol, but took what Nicol said and have reported here. Calculated SR assumed uncertainity of ± 2, assume Net Sr is a minimum as no vert Sr. Maximum Sr of range of SRs from site</t>
  </si>
  <si>
    <t>4.7 ± 0.2</t>
  </si>
  <si>
    <t>Spring Creek Beach Ridge 22</t>
  </si>
  <si>
    <t>Nicol et al. (2016)</t>
  </si>
  <si>
    <t xml:space="preserve">Age is from Waikato, Lowe et al. (2008)? </t>
  </si>
  <si>
    <t>Offset is in trench of Rotorua Tephra. Multiple trenches along fault but not a CFM currently. Not a CFM fault so can't use CFM dip to calculate Dip SR. Assume Net SR is greater than or equal to the reported vert SR , as no SS SR reported.</t>
  </si>
  <si>
    <t>Tephrachronology</t>
  </si>
  <si>
    <t>15.7 ± 0.2</t>
  </si>
  <si>
    <t>Trench stratigraphy</t>
  </si>
  <si>
    <t>2.5 ± 0.3</t>
  </si>
  <si>
    <r>
      <t xml:space="preserve">0.6 </t>
    </r>
    <r>
      <rPr>
        <sz val="10"/>
        <rFont val="Calibri"/>
        <family val="2"/>
      </rPr>
      <t>± 0.1</t>
    </r>
  </si>
  <si>
    <t xml:space="preserve">Tumunui (T3) </t>
  </si>
  <si>
    <t>Rotohauhau</t>
  </si>
  <si>
    <t>Tabitha Bushell (in prep.)</t>
  </si>
  <si>
    <t>Place holder for this site, SR to come</t>
  </si>
  <si>
    <t>North Leader trench</t>
  </si>
  <si>
    <t>North Leader</t>
  </si>
  <si>
    <t>Brough (2019)</t>
  </si>
  <si>
    <t>10 ± 2</t>
  </si>
  <si>
    <t>Offset channel</t>
  </si>
  <si>
    <t>5 ± 1.5
0.5</t>
  </si>
  <si>
    <t>0.504 (0.501-0.517)</t>
  </si>
  <si>
    <t>Harris</t>
  </si>
  <si>
    <t>30 ± 4</t>
  </si>
  <si>
    <t>10 ± 2
0.7</t>
  </si>
  <si>
    <t>0.335 (0.334-0.338)</t>
  </si>
  <si>
    <t>~0.5
Unreported</t>
  </si>
  <si>
    <t>Aitken</t>
  </si>
  <si>
    <t>5
1.5</t>
  </si>
  <si>
    <t>0.18 (0.17-0.20)</t>
  </si>
  <si>
    <t>Dalmer</t>
  </si>
  <si>
    <t>0.32 (0.13-0.64)</t>
  </si>
  <si>
    <t>The Humps</t>
  </si>
  <si>
    <t>c. 260</t>
  </si>
  <si>
    <t>35 and 50 m were both measured, back-calculated and assume they used 50 m for SR calculation. Assume Net SR is equal to or greater than vert SR as SS SR not reported. Calculated Net SR = Dip SR using CFM dip.</t>
  </si>
  <si>
    <t>0.27-0.42</t>
  </si>
  <si>
    <t>Terrace uplift rates</t>
  </si>
  <si>
    <t>Kongahu</t>
  </si>
  <si>
    <t>Doesn’t say how offset was measured. No vertical SR reported, assume dextral SR equals net SR.</t>
  </si>
  <si>
    <t>Taylors Pass Road trench 1</t>
  </si>
  <si>
    <t>Taylors Pass Road trench 2</t>
  </si>
  <si>
    <t>1180-910 cal. yr BP</t>
  </si>
  <si>
    <t>3500-2000 cal. yr BP</t>
  </si>
  <si>
    <t>4600-4000 cal. yr BP</t>
  </si>
  <si>
    <t>6300-5300 cal. yr BP</t>
  </si>
  <si>
    <t>Assigned to 1848 earthquake based on proximity (20 cm) to ground surface and presence of peat dated in trench 1.</t>
  </si>
  <si>
    <t>C14 age of tree inferred to be killed by EQ. Calibrated using INTCAL98 and SH 1998 offset. 2 sigma uncertainties.</t>
  </si>
  <si>
    <t>Bracketed by two C14 ages but refined based on stratigraphic considerations and sedimentation rate. Calibrated using INTCAL98 and SH 1998 offset. 2 sigma uncertainties.</t>
  </si>
  <si>
    <t>Minimum C14 ageand extrapolated sedimentation rate. Calibrated using INTCAL98 and SH 1998 offset. 2 sigma uncertainties.</t>
  </si>
  <si>
    <t>Upcot trenches combined</t>
  </si>
  <si>
    <t>Taylors Pass Road trenches combined</t>
  </si>
  <si>
    <t>3500-3000 cal. yr BP</t>
  </si>
  <si>
    <t>Overlap of ages from both trenches.</t>
  </si>
  <si>
    <t>Inferred age from both trenches.</t>
  </si>
  <si>
    <t>Only recognised in trench 2.</t>
  </si>
  <si>
    <t>From trench 1 (trench 2 didn't sample deep enough).</t>
  </si>
  <si>
    <t>Upcot and Taylors Pass trenches combined</t>
  </si>
  <si>
    <t>1080-980 cal. yr BP</t>
  </si>
  <si>
    <t>Taylors Pass EQ1 and Upcot EQ1</t>
  </si>
  <si>
    <t>Taylors Pass EQ2 and Upcot EQ2</t>
  </si>
  <si>
    <t>Upcot EQ3</t>
  </si>
  <si>
    <t>Taylors Pass EQ3 and Upcot EQ4</t>
  </si>
  <si>
    <t>Taylors Pass EQ4</t>
  </si>
  <si>
    <t>Upcot EQ5</t>
  </si>
  <si>
    <t>Upcot EQ6</t>
  </si>
  <si>
    <t>Taylors Pass EQ5</t>
  </si>
  <si>
    <t>Taylors Pass EQ6</t>
  </si>
  <si>
    <t>Taylors Pass EQ7</t>
  </si>
  <si>
    <t>&gt;1300</t>
  </si>
  <si>
    <t>800-1100</t>
  </si>
  <si>
    <t>5-6</t>
  </si>
  <si>
    <t>820-950</t>
  </si>
  <si>
    <t>9-10</t>
  </si>
  <si>
    <t>From 5-6 earthquakes between 1848 AD and 5590-5310 cal. yr BP.</t>
  </si>
  <si>
    <t>From 9-10 earthquakes between 1848 AD and 8610-8330 cal. yr BP.</t>
  </si>
  <si>
    <t>Lake Jasper core 1</t>
  </si>
  <si>
    <t>1370-860 cal. yr BP</t>
  </si>
  <si>
    <t>2670-1870 cal. yr BP</t>
  </si>
  <si>
    <t>3890-3010 cal. yr BP</t>
  </si>
  <si>
    <t>4630-4191 cal. yr BP</t>
  </si>
  <si>
    <t>5600-5270 cal. yr BP</t>
  </si>
  <si>
    <t>6170-5990 cal. yr BP</t>
  </si>
  <si>
    <t>7170-6960 cal. yr BP</t>
  </si>
  <si>
    <t>8730-8300 cal. yr BP</t>
  </si>
  <si>
    <t>EQ from diatom analysis of lake sediments. Age from sedimentation model constrained by 4 C14 ages and appearance of pinus radiata.  Calibrated using INTCAL98 and SH 1998 offset. 2 sigma uncertainties. Assigned to 1848 EQ based on stratigraphic position above pinus radiata.</t>
  </si>
  <si>
    <t>EQ from diatom analysis of lake sediments. Age from sedimentation model constrained by 4 C14 ages and appearance of pinus radiata.  Calibrated using INTCAL98 and SH 1998 offset. 2 sigma uncertainties.</t>
  </si>
  <si>
    <t>Lake Jasper core 2</t>
  </si>
  <si>
    <t>1580-1140 cal. yr BP</t>
  </si>
  <si>
    <t>2300-1830 cal. yr BP</t>
  </si>
  <si>
    <t>4670-4070 cal. yr BP</t>
  </si>
  <si>
    <t>5670-5240 cal. yr BP</t>
  </si>
  <si>
    <t>6180-5770 cal. yr BP</t>
  </si>
  <si>
    <t>7170-6840 cal. yr BP</t>
  </si>
  <si>
    <t>9090-8740 cal. yr BP</t>
  </si>
  <si>
    <t>10220-9610 cal. yr BP</t>
  </si>
  <si>
    <t>12230-11420 cal. yr BP</t>
  </si>
  <si>
    <t>13500-12770 cal. yr BP</t>
  </si>
  <si>
    <t>14670-13930 cal. yr BP</t>
  </si>
  <si>
    <t>11400-10650 cal. yr BP</t>
  </si>
  <si>
    <t>EQ from diatom analysis of lake sediments. Age from sedimentation model constrained by 7 C14 ages and appearance of pinus radiata.  Calibrated using INTCAL98 and SH 1998 offset. 2 sigma uncertainties. Assigned to 1848 EQ based on stratigraphic position above pinus radiata.</t>
  </si>
  <si>
    <t>EQ from diatom analysis of lake sediments. Age from sedimentation model constrained by 7 C14 ages and appearance of pinus radiata.  Calibrated using INTCAL98 and SH 1998 offset. 2 sigma uncertainties.</t>
  </si>
  <si>
    <t>Combined Taylors Pass Road trenches and Lake Jasper cores</t>
  </si>
  <si>
    <t>1090 ± 520</t>
  </si>
  <si>
    <r>
      <t xml:space="preserve">Not explicitly stated but appears to be an estimated mean between inter-event times ranging from 605 </t>
    </r>
    <r>
      <rPr>
        <sz val="10"/>
        <color theme="1"/>
        <rFont val="Calibri"/>
        <family val="2"/>
      </rPr>
      <t xml:space="preserve">± </t>
    </r>
    <r>
      <rPr>
        <sz val="10"/>
        <color theme="1"/>
        <rFont val="Calibri"/>
        <family val="2"/>
        <scheme val="minor"/>
      </rPr>
      <t xml:space="preserve">235 to 2170 </t>
    </r>
    <r>
      <rPr>
        <sz val="10"/>
        <color theme="1"/>
        <rFont val="Calibri"/>
        <family val="2"/>
      </rPr>
      <t>± 350 years. Reported as a minimum but not explained why as considers clustering is likely real.</t>
    </r>
  </si>
  <si>
    <t>Not explicitly stated but appears to be an etsimated mean between inter-event times ranging from 670 ± 270 to 1890 ± 720 years.</t>
  </si>
  <si>
    <t>1180-1140 cal. yr BP</t>
  </si>
  <si>
    <t>2300-1920 cal. yr BP</t>
  </si>
  <si>
    <t>3721-3140 cal. yr BP</t>
  </si>
  <si>
    <t>5590-5240 cal. yr BP</t>
  </si>
  <si>
    <t>6180-5990 cal. yr BP</t>
  </si>
  <si>
    <t>7110-6490 cal. yr BP</t>
  </si>
  <si>
    <t>9095-8300 cal. yr BP</t>
  </si>
  <si>
    <t>13500-12270 cal. yr BP</t>
  </si>
  <si>
    <t>From both trenches and both cores.</t>
  </si>
  <si>
    <t>From trench 2 and both cores.</t>
  </si>
  <si>
    <t>From trench 1 and core 1.</t>
  </si>
  <si>
    <t>From trench 1 and both cores.</t>
  </si>
  <si>
    <t>From core 2.</t>
  </si>
  <si>
    <t>~300 m inland from coast</t>
  </si>
  <si>
    <t>~350 m east of Redwood Pass</t>
  </si>
  <si>
    <t>Tributary of Stafford Creek</t>
  </si>
  <si>
    <t>West of Stafford Creek</t>
  </si>
  <si>
    <t>~150 m west of Kennel Brook</t>
  </si>
  <si>
    <t>~500 m west of Kennel Brook</t>
  </si>
  <si>
    <t>Unnamed major stream</t>
  </si>
  <si>
    <t>Tributary of Nina Brook</t>
  </si>
  <si>
    <t>West of Rossmore Stream</t>
  </si>
  <si>
    <t>~700 m SW of Rossmore Stream</t>
  </si>
  <si>
    <t>~100 m NW of Blarich R Bridge</t>
  </si>
  <si>
    <t>~800 m NNW of hairpin bend</t>
  </si>
  <si>
    <t>3.7 ± 0.5</t>
  </si>
  <si>
    <t>4.6 ± 0.2</t>
  </si>
  <si>
    <t>5 ± 2</t>
  </si>
  <si>
    <t>6 ± 0.5</t>
  </si>
  <si>
    <t>7 ± 1</t>
  </si>
  <si>
    <t>5 ± 1</t>
  </si>
  <si>
    <t>4 ± 0.2</t>
  </si>
  <si>
    <t>4 ± 2</t>
  </si>
  <si>
    <t>Donald's Creek</t>
  </si>
  <si>
    <t>Abandoned stream channel</t>
  </si>
  <si>
    <t>2 shallow channels</t>
  </si>
  <si>
    <t>Deeply incised channel</t>
  </si>
  <si>
    <t>Ephemeral stream channel</t>
  </si>
  <si>
    <t>True right bank of stream</t>
  </si>
  <si>
    <t>True left bank of stream</t>
  </si>
  <si>
    <t>Spurs</t>
  </si>
  <si>
    <t>Channel, riser and canyon wall</t>
  </si>
  <si>
    <t>Channels, risers and longitudinal bar</t>
  </si>
  <si>
    <t>True right bank</t>
  </si>
  <si>
    <t>Degraded terrace edge</t>
  </si>
  <si>
    <t>Mean of sites 536-549</t>
  </si>
  <si>
    <t>873 (+209,-197) - 370 (+204,-370)</t>
  </si>
  <si>
    <t>Bracketed by two C14 ages calibrated using Calib 3.0 from Stuiver and Reimer (1993).</t>
  </si>
  <si>
    <t>3082 (+189,-185) - 873 (+209,-197)</t>
  </si>
  <si>
    <t>McCalpin (1996)</t>
  </si>
  <si>
    <t>4089-3826 - 1285-973</t>
  </si>
  <si>
    <t>Weathering rind ages for faulted and unfaulted terraces.</t>
  </si>
  <si>
    <t>C14 age of faulted paleosol. Calibrated using Calib 3.0 from Stuiver and Reimer (1993).</t>
  </si>
  <si>
    <t>C14 age of paleosol overlain by colluvium. Calibrated using Calib 3.0 from Stuiver and Reimer (1993).</t>
  </si>
  <si>
    <t>Wairau tributary sag pond</t>
  </si>
  <si>
    <t>&lt;751 (+174,-84)</t>
  </si>
  <si>
    <t>C14 age of charcoal in sag pond post-dating LE. Calibrated using Calib 3.0 from Stuiver and Reimer (1993).</t>
  </si>
  <si>
    <t>Lake Sedgemere landslide</t>
  </si>
  <si>
    <t>&lt;4453-4195</t>
  </si>
  <si>
    <t>Faulted landslide inferred to be coseismic so predates 2 earthquakes. Weathering rind age.</t>
  </si>
  <si>
    <t>Lake Sedgemere trench</t>
  </si>
  <si>
    <t>Island Gully Stream exposure</t>
  </si>
  <si>
    <t>Wairau Gorge entrance trench</t>
  </si>
  <si>
    <t>Wairau tributary #1 exposure</t>
  </si>
  <si>
    <t>&gt;597 (+131,-102)</t>
  </si>
  <si>
    <t>Severn River trench</t>
  </si>
  <si>
    <t>&gt;646 (+65,-80)</t>
  </si>
  <si>
    <t>Colluvial wedge site</t>
  </si>
  <si>
    <t>517-515</t>
  </si>
  <si>
    <t>Serpentine Creek landslides</t>
  </si>
  <si>
    <t>1286-973</t>
  </si>
  <si>
    <t>2923 (2770,3178)</t>
  </si>
  <si>
    <t>4090-3827</t>
  </si>
  <si>
    <t>Coseismic landslide dated by weathering rind dating.</t>
  </si>
  <si>
    <t>McCalpin, J.P. 1996 Tectonic geomorphology and Holocene paleoseismicity of the Molesworth section of the Awatere Fault, South Island, New Zealand. New Zealand Journal of Geology and Geophysics, 39(1): 33-50</t>
  </si>
  <si>
    <t>McCalpin, J.P. 1992 Glacial and postglacial geology near Lake Tennyson, Clarence River, New Zealand. New Zealand Journal of Geology and Geophysics, 35(2): 201-210</t>
  </si>
  <si>
    <t>Acheron River bridge exposure</t>
  </si>
  <si>
    <t>&gt;744 (+255,-127)</t>
  </si>
  <si>
    <t>Acheron trench 4</t>
  </si>
  <si>
    <t>751 (+204,-64) - 522 (+92,-147)</t>
  </si>
  <si>
    <t>Combined main trace</t>
  </si>
  <si>
    <t>597 (+131,-102) - 522 (+92,-147)</t>
  </si>
  <si>
    <t>Sites 555-559, 561 + Saxton River terrace weathering rind ages (not compiled here as superseded).</t>
  </si>
  <si>
    <t>Sites 555-559. Also noted in may be younger than 517 (+120,-186).</t>
  </si>
  <si>
    <t>4800-4200 - 2400</t>
  </si>
  <si>
    <t>Combined Upper Wairau Splay</t>
  </si>
  <si>
    <t>873 (+209,-197) - 751 (+174,-84)</t>
  </si>
  <si>
    <t>Sites 550-554.</t>
  </si>
  <si>
    <t>2923 (+255,-153) - 1296 (+226,-228)</t>
  </si>
  <si>
    <t>Sites 550, 552, 553, 554. Also noted if landsliding was not coseismic, maximum age could be 3082 (+189,-185).</t>
  </si>
  <si>
    <t>3931 (522-4453) - 1929 (517-2446)</t>
  </si>
  <si>
    <t>Inter-event time between LE and PE</t>
  </si>
  <si>
    <t>1205 (447-1961)</t>
  </si>
  <si>
    <t>Lake Sedgemere landslide edge</t>
  </si>
  <si>
    <t>6.0 ± 1.5
1.8 ± 0.1</t>
  </si>
  <si>
    <t>Calculated using CFM dip</t>
  </si>
  <si>
    <t>6.3 (4.8-7.9)</t>
  </si>
  <si>
    <t>Landslide edge</t>
  </si>
  <si>
    <t>Measured using a plastic rod and abney level.</t>
  </si>
  <si>
    <t>6.0 ± 1
4.4 ± 0.2</t>
  </si>
  <si>
    <t>6.0 ± 1
0.9 ± 0.1</t>
  </si>
  <si>
    <t>7.5 (6.5-9.2)</t>
  </si>
  <si>
    <t>6.1 (5.1-7.1)</t>
  </si>
  <si>
    <t>Main trace combined</t>
  </si>
  <si>
    <t>multiple</t>
  </si>
  <si>
    <t>Profile 20</t>
  </si>
  <si>
    <t>Profile 24</t>
  </si>
  <si>
    <t>5.5 ± 1
&lt;1.9 ± 0.1</t>
  </si>
  <si>
    <t>6.5 ± 1
6.0 ± 0.3</t>
  </si>
  <si>
    <t>6.0 ± 1</t>
  </si>
  <si>
    <t>Upper Wairau splay combined</t>
  </si>
  <si>
    <t>5.5-6.5</t>
  </si>
  <si>
    <t>5.8 (4.8-7.0)</t>
  </si>
  <si>
    <t>9.0 (7.9-11.1)</t>
  </si>
  <si>
    <t>6.0 (5.0-7.0)</t>
  </si>
  <si>
    <t>Site 1</t>
  </si>
  <si>
    <t>Site 2</t>
  </si>
  <si>
    <t>Site 3</t>
  </si>
  <si>
    <t>Site 4</t>
  </si>
  <si>
    <t>Site 5</t>
  </si>
  <si>
    <t>Site 6</t>
  </si>
  <si>
    <t>Site 7</t>
  </si>
  <si>
    <t>Site 8</t>
  </si>
  <si>
    <t>Site 9</t>
  </si>
  <si>
    <t>Site 10</t>
  </si>
  <si>
    <t>Site 11</t>
  </si>
  <si>
    <t>Site 12</t>
  </si>
  <si>
    <t>Site 13</t>
  </si>
  <si>
    <t>Site 14</t>
  </si>
  <si>
    <t>Site 15</t>
  </si>
  <si>
    <t>Site 16</t>
  </si>
  <si>
    <t>Site 19</t>
  </si>
  <si>
    <t>Site 20</t>
  </si>
  <si>
    <t>Site 21</t>
  </si>
  <si>
    <t>Site 22</t>
  </si>
  <si>
    <t>Site 24</t>
  </si>
  <si>
    <t>Site 25</t>
  </si>
  <si>
    <t>Site 26</t>
  </si>
  <si>
    <t>Site 28</t>
  </si>
  <si>
    <t>Site 29</t>
  </si>
  <si>
    <t>Site 30</t>
  </si>
  <si>
    <t>Site 31</t>
  </si>
  <si>
    <t>Site 32</t>
  </si>
  <si>
    <t>Site 33</t>
  </si>
  <si>
    <t>Site 36</t>
  </si>
  <si>
    <t>Site 41</t>
  </si>
  <si>
    <t>Site 42</t>
  </si>
  <si>
    <t>4.8 ± 1.2</t>
  </si>
  <si>
    <t>4.1 ± 0.5</t>
  </si>
  <si>
    <t>5.5 ± 0.8</t>
  </si>
  <si>
    <t>6.3 ± 2.3</t>
  </si>
  <si>
    <t>4.4 ± 0.3</t>
  </si>
  <si>
    <t>6.2 ± 1.7</t>
  </si>
  <si>
    <t>5.1 ± 2.5</t>
  </si>
  <si>
    <t>4.6 ± 1.3</t>
  </si>
  <si>
    <t>5.1 ± 0.8</t>
  </si>
  <si>
    <t>6.5 ± 2.1</t>
  </si>
  <si>
    <t>4.2 ± 2</t>
  </si>
  <si>
    <t>5.6 ± 2.1</t>
  </si>
  <si>
    <t>4 ± 1</t>
  </si>
  <si>
    <t>4 ± 0.5</t>
  </si>
  <si>
    <t>6.5 ± 2</t>
  </si>
  <si>
    <t>7 ± 2</t>
  </si>
  <si>
    <t>6.5 ± 1</t>
  </si>
  <si>
    <t>Ephemeral channel</t>
  </si>
  <si>
    <t>Beheaded channel</t>
  </si>
  <si>
    <t>Abandoned channel</t>
  </si>
  <si>
    <t>Channel / canyon wall</t>
  </si>
  <si>
    <t>Barefell</t>
  </si>
  <si>
    <t>Barefell Pass</t>
  </si>
  <si>
    <t>McCalpin, J. 1990 Fault scarp and weathering data from the Molesworth section of the Awatere Fault, Marlborough, New Zealand. 216 p</t>
  </si>
  <si>
    <t>McCalpin (1990, 1996)</t>
  </si>
  <si>
    <t>McCalpin (1990, 1992, 1996)</t>
  </si>
  <si>
    <t>&lt;1110 (+213,-164)</t>
  </si>
  <si>
    <t>&lt;1296 (+226,-228)</t>
  </si>
  <si>
    <t>Wairau River terraces</t>
  </si>
  <si>
    <t>Isolated Flat channel</t>
  </si>
  <si>
    <t>Isolated Flat channel 2</t>
  </si>
  <si>
    <t>Greenburn East trench</t>
  </si>
  <si>
    <t>1722-1840 AD</t>
  </si>
  <si>
    <t>1558-1724 AD</t>
  </si>
  <si>
    <t>1495-1610 AD</t>
  </si>
  <si>
    <t>1288-1532 AD</t>
  </si>
  <si>
    <t>36 BC - 1277 AD</t>
  </si>
  <si>
    <t>Bracketed from charcoal C14 ages from colluvial wedges. OxCal model using SHCal 13, uncertainties 2 sigma.</t>
  </si>
  <si>
    <t>Hatem et al. (2019)</t>
  </si>
  <si>
    <t>Bracketed from charcoal C14 ages from colluvial wedge and wood from marsh unit. OxCal model using SHCal 13, uncertainties 2 sigma. Alternative age using the colluvial wedge ages only is 36 BC - 1277 AD.</t>
  </si>
  <si>
    <t>Greenburn West trench 1</t>
  </si>
  <si>
    <t>1669-1806 AD</t>
  </si>
  <si>
    <t>1415-1711 AD</t>
  </si>
  <si>
    <t>&gt;1440 AD</t>
  </si>
  <si>
    <t>Charcoal C14 ages from colluvial wedge and historical age. OxCal model using SHCal 13, uncertainties 2 sigma.</t>
  </si>
  <si>
    <t>Combined record from T1 and T2. C14 age from paleosol C14 leaf and historical age. OxCal model using SHCal 13, uncertainties 2 sigma.</t>
  </si>
  <si>
    <t>Combined record from T1 and T2. Bracketed by paleosol and landslide deposit C14 ages. OxCal model using SHCal 13, uncertainties 2 sigma.</t>
  </si>
  <si>
    <t>Combined record from T1 and T2. C14 age from paleoseol underlying landslide deposit. OxCal model using SHCal 13, uncertainties 2 sigma.</t>
  </si>
  <si>
    <t>Greenburn West trench 2</t>
  </si>
  <si>
    <t>1728-1840 AD</t>
  </si>
  <si>
    <t>1668-1806 AD</t>
  </si>
  <si>
    <t>1225-1685 AD</t>
  </si>
  <si>
    <t>C14 age from paleosol C14 leaf and historical age. OxCal model using SHCal 13, uncertainties 2 sigma.</t>
  </si>
  <si>
    <t>Bracketed by paleosol deposit C14 ages. OxCal model using SHCal 13, uncertainties 2 sigma.</t>
  </si>
  <si>
    <t>Combined record from T1 and T2. Bracketed by charcoal paleosol C14 ages. OxCal model using SHCal 13, uncertainties 2 sigma.</t>
  </si>
  <si>
    <t>Combined Greenburn East and West trenches</t>
  </si>
  <si>
    <t>1731-1840 AD</t>
  </si>
  <si>
    <t>1657-1797 AD</t>
  </si>
  <si>
    <t>1495-1611 AD</t>
  </si>
  <si>
    <t>1290-1420 AD</t>
  </si>
  <si>
    <t>36 BC - 1275 AD</t>
  </si>
  <si>
    <t>From Greenburn East, Greenburn West 1 and 2 trenches</t>
  </si>
  <si>
    <t>Hope Shelter Trench 1</t>
  </si>
  <si>
    <t>1843-1888 AD</t>
  </si>
  <si>
    <t>1819-1848 AD</t>
  </si>
  <si>
    <t>1106-1735 AD</t>
  </si>
  <si>
    <t>596-1092 AD</t>
  </si>
  <si>
    <t>439-580 AD</t>
  </si>
  <si>
    <t>299-419 AD</t>
  </si>
  <si>
    <t>Khajavi et al. (2016)</t>
  </si>
  <si>
    <t xml:space="preserve">C14 age of seeds pre-dating event. OxCal 4.2.3 model, calibration curve not stated, 2 sigma uncertainties. Alternative model age is 1825-1887 AD. Tentatively inferred to be 1888 Amuri Earthquake. </t>
  </si>
  <si>
    <t>C14 age of seeds pre-dating event. OxCal 4.2.3 model, calibration curve not stated, 2 sigma uncertainties. Alternative model age does not include this event.</t>
  </si>
  <si>
    <t xml:space="preserve">Bracketed between C14 peat ages. OxCal 4.2.3 model, calibration curve not stated, 2 sigma uncertainties. </t>
  </si>
  <si>
    <t xml:space="preserve">Bracketed between C14 peat ages but some contamination. OxCal 4.2.3 model, calibration curve not stated, 2 sigma uncertainties. </t>
  </si>
  <si>
    <t>Hope Shelter Trench 2</t>
  </si>
  <si>
    <t>1733-1888 AD</t>
  </si>
  <si>
    <t>1235-1730 AD</t>
  </si>
  <si>
    <t>819-1192 AD</t>
  </si>
  <si>
    <t>373-495 AD</t>
  </si>
  <si>
    <t xml:space="preserve">C14 ages of seeds pre-dating event but considered much older than event. OxCal 4.2.3 model, calibration curve not stated, 2 sigma uncertainties. Tentatively inferred to be 1888 Amuri Earthquake. </t>
  </si>
  <si>
    <t>C14 ages of seeds pre-dating event . OxCal 4.2.3 model, calibration curve not stated, 2 sigma uncertainties.</t>
  </si>
  <si>
    <t>C14 age of leaves from colluvial wedge. OxCal 4.2.3 model, calibration curve not stated, 2 sigma uncertainties.</t>
  </si>
  <si>
    <t xml:space="preserve">Bracketed between C14 peat seed ages. OxCal 4.2.3 model, calibration curve not stated, 2 sigma uncertainties. </t>
  </si>
  <si>
    <t>298 (286-314)</t>
  </si>
  <si>
    <t>Average of 4 inter-event times.</t>
  </si>
  <si>
    <t>Hope Shelter trenches combined</t>
  </si>
  <si>
    <t>461 (424-495)</t>
  </si>
  <si>
    <t>Average of 5 inter-event times. Alternative model of 5 events gives 370 (354-392) years.</t>
  </si>
  <si>
    <t>1888 AD</t>
  </si>
  <si>
    <t>1740-1840 AD</t>
  </si>
  <si>
    <t>Inferred to be 1888 Amuri Earthquake.</t>
  </si>
  <si>
    <t>Uses a historical age constraint (1840 AD).</t>
  </si>
  <si>
    <t>1479-1623 AD</t>
  </si>
  <si>
    <t>819-1092 AD</t>
  </si>
  <si>
    <t>439-551 AD</t>
  </si>
  <si>
    <t>373-419 AD</t>
  </si>
  <si>
    <t>From trench 1</t>
  </si>
  <si>
    <t>From trench 2</t>
  </si>
  <si>
    <t>298 ± 88</t>
  </si>
  <si>
    <t>Monte Carlo sampling of preferred model ages.</t>
  </si>
  <si>
    <t>Location 1</t>
  </si>
  <si>
    <t>Location 4</t>
  </si>
  <si>
    <t>Location 5</t>
  </si>
  <si>
    <t>Location 6</t>
  </si>
  <si>
    <t>Location 7</t>
  </si>
  <si>
    <t>Location 8</t>
  </si>
  <si>
    <t>Location 9</t>
  </si>
  <si>
    <t>Location 11</t>
  </si>
  <si>
    <t>Location 16</t>
  </si>
  <si>
    <t>Location 17</t>
  </si>
  <si>
    <t>Location 18</t>
  </si>
  <si>
    <t>Location 24</t>
  </si>
  <si>
    <t>Location 25</t>
  </si>
  <si>
    <t>Location 26</t>
  </si>
  <si>
    <t>Location 27</t>
  </si>
  <si>
    <t>Location 28</t>
  </si>
  <si>
    <t>Location 30</t>
  </si>
  <si>
    <t>Location 31</t>
  </si>
  <si>
    <t>Location 32</t>
  </si>
  <si>
    <t>Location 34</t>
  </si>
  <si>
    <t>Location 35</t>
  </si>
  <si>
    <t>8 ± 3</t>
  </si>
  <si>
    <t>6.5 ± 3</t>
  </si>
  <si>
    <t>7.5 ± 3</t>
  </si>
  <si>
    <t>4-7</t>
  </si>
  <si>
    <t>7 ± 3</t>
  </si>
  <si>
    <t>3 ± 1</t>
  </si>
  <si>
    <t>9 ± 3</t>
  </si>
  <si>
    <t>8 ± 4</t>
  </si>
  <si>
    <t>6 ± 3</t>
  </si>
  <si>
    <t>7 ± 1.5</t>
  </si>
  <si>
    <t>6.5 ± 4</t>
  </si>
  <si>
    <t>7 ± 5</t>
  </si>
  <si>
    <t>Gully channel</t>
  </si>
  <si>
    <t>Valley margin</t>
  </si>
  <si>
    <t>Small ridge crest</t>
  </si>
  <si>
    <t>Small bedrock ridge crest</t>
  </si>
  <si>
    <t>Gully channel and margin</t>
  </si>
  <si>
    <t>Gully floor</t>
  </si>
  <si>
    <t>Ridge crest and valley wall</t>
  </si>
  <si>
    <t>Gully margin / terrace riser</t>
  </si>
  <si>
    <t>Ridge crest</t>
  </si>
  <si>
    <t>Valley margin / crest</t>
  </si>
  <si>
    <t>Rockfall margin</t>
  </si>
  <si>
    <t>Stream channel axis</t>
  </si>
  <si>
    <t>Measured using tape measure and uncertainty considered to be 2 sigma. Offset 16 ± 3 m and considered to be 2 earthquakes.</t>
  </si>
  <si>
    <t>Measured using tape measure and uncertainty considered to be 2 sigma. Offset 13 ± 3 m and considered to be 2 earthquakes.</t>
  </si>
  <si>
    <t>Measured using tape measure and uncertainty considered to be 2 sigma. Offset 15 ± 3 m and considered to be 2 earthquakes.</t>
  </si>
  <si>
    <t xml:space="preserve">Measured using tape measure and uncertainty considered to be 2 sigma. </t>
  </si>
  <si>
    <t>Measured using tape measure and uncertainty considered to be 2 sigma. Offset 14 ± 3 m and considered to be 2 earthquakes.</t>
  </si>
  <si>
    <t>Measured using tape measure and uncertainty considered to be 2 sigma. Offset 16 ± 4 m and considered to be 2 earthquakes.</t>
  </si>
  <si>
    <t>Measured using tape measure and uncertainty considered to be 2 sigma. Offset 12 ± 3 m and considered to be 2 earthquakes.</t>
  </si>
  <si>
    <t>Measured using tape measure and uncertainty considered to be 2 sigma. Offset 13 ± 4 m and considered to be 2 earthquakes.</t>
  </si>
  <si>
    <t>Van Dissen and Nicol (2009)</t>
  </si>
  <si>
    <t>4.95 ± 1.7</t>
  </si>
  <si>
    <t>4.85 ± 0.7</t>
  </si>
  <si>
    <t>Ravine Stream exposure</t>
  </si>
  <si>
    <t>Bracketed by two C14 ages. Calibration method not stated, 2 sigma uncertainties.</t>
  </si>
  <si>
    <t>6720-6350 - 3370-3080 cal. yr BP</t>
  </si>
  <si>
    <t>1880-1560 - 980-780 cal. yr BP</t>
  </si>
  <si>
    <t>3370-3080 - 1880-1560 cal. yr BP</t>
  </si>
  <si>
    <t>c. 6880-6560 cal. yr BP</t>
  </si>
  <si>
    <t>C14 age of oldest ponded unit considered to be the result of and approximate the age of the earthquake.  Calibration method not stated, 2 sigma uncertainties.</t>
  </si>
  <si>
    <t>Dead Horse Gully exposure</t>
  </si>
  <si>
    <t>Bracketed by two C14 ages. Potentially could be 2 earthquakes in this interval. Calibration method not stated, 2 sigma uncertainties.</t>
  </si>
  <si>
    <t>3680-3410 - 1950-1700 cal. yr BP</t>
  </si>
  <si>
    <t>EQ2</t>
  </si>
  <si>
    <t>&gt;3830-3570 cal. yr BP</t>
  </si>
  <si>
    <t>C14 age of peat within ponded unit inferred to be the result of an earthquake. Calibration method not stated, 2 sigma uncertainties.</t>
  </si>
  <si>
    <r>
      <rPr>
        <sz val="10"/>
        <color theme="1"/>
        <rFont val="Calibri"/>
        <family val="2"/>
      </rPr>
      <t>≥</t>
    </r>
    <r>
      <rPr>
        <sz val="10"/>
        <color theme="1"/>
        <rFont val="Calibri"/>
        <family val="2"/>
        <scheme val="minor"/>
      </rPr>
      <t>2</t>
    </r>
  </si>
  <si>
    <t>≥4</t>
  </si>
  <si>
    <t>Digger Stream exposure</t>
  </si>
  <si>
    <t>&gt;1050-740 cal. yr BP</t>
  </si>
  <si>
    <t>C14 age of unfaulted colluvium. Calibration method not stated, 2 sigma uncertainties.</t>
  </si>
  <si>
    <t>Bluff Stream exposure</t>
  </si>
  <si>
    <t>&gt;680-560 cal. yr BP</t>
  </si>
  <si>
    <t>Combined sites 627-630</t>
  </si>
  <si>
    <t>1880-1700 cal. yr BP</t>
  </si>
  <si>
    <t>3370-3080 - 1880-1700 cal. yr BP</t>
  </si>
  <si>
    <t>From Dead Horse and Ravine stream exposures.</t>
  </si>
  <si>
    <t>c. 3200</t>
  </si>
  <si>
    <t>From Ravine Stream exposure.</t>
  </si>
  <si>
    <t>From Ravine Stream exposure. Entire range 6720-6350 to 3370-3080 cal. yr BP but considered closer to the younger end of the range.</t>
  </si>
  <si>
    <t>c. 1700</t>
  </si>
  <si>
    <t>Four earthquakes in the last 6910-6610 cal. yr BP.</t>
  </si>
  <si>
    <t>Combined sites 606-626</t>
  </si>
  <si>
    <t>Reported average from Van Dissen and Nicol (2009)</t>
  </si>
  <si>
    <t>Average from two populations 7-8 and 14-15 m. Calculation method not stated.</t>
  </si>
  <si>
    <t>Greenburn Stream Trench 2</t>
  </si>
  <si>
    <t>1760 ± 60 AD</t>
  </si>
  <si>
    <t>&gt;1220 AD</t>
  </si>
  <si>
    <t>&lt;1295 AD</t>
  </si>
  <si>
    <t>Bracketing C14 ages overlap,  calibrated using INTCAL98</t>
  </si>
  <si>
    <t>Minimum C14 age,  calibrated using INTCAL98</t>
  </si>
  <si>
    <t>Bracketing C14 ages overlap,  calibrated using INTCAL98. Also used historical age constraint (1840), stratigraphic data from Trench 1, and weathering rind age.</t>
  </si>
  <si>
    <t>Kekerengu Trench 1</t>
  </si>
  <si>
    <t>249-109 cal. yr BP</t>
  </si>
  <si>
    <t>528-356 cal. yr BP</t>
  </si>
  <si>
    <t>1630-778 cal. yr BP</t>
  </si>
  <si>
    <t>Bracketed by C14 ages. Calibrated using SHCAL13. OxCal model including historical age constraints. 2 sigma uncertainties.</t>
  </si>
  <si>
    <t>Bracketed by C14 ages. Calibrated using SHCAL13. OxCal model, 2 sigma uncertainties.</t>
  </si>
  <si>
    <t>Little et al. (2018)</t>
  </si>
  <si>
    <t>Kekerengu Trench 2</t>
  </si>
  <si>
    <t>905-113 cal. yr BP</t>
  </si>
  <si>
    <t>3456-955 cal. yr BP</t>
  </si>
  <si>
    <t>Kekerengu Trench 3</t>
  </si>
  <si>
    <t>1250-903 cal. yr BP</t>
  </si>
  <si>
    <t>Kekerengu trenches combined</t>
  </si>
  <si>
    <t>1249-902 cal. yr BP</t>
  </si>
  <si>
    <t>From trenches 1 and 3</t>
  </si>
  <si>
    <t>322-438</t>
  </si>
  <si>
    <t>OxCal model of inter-event times between 3 paleoearthquakes and the 2016 Kaikoura Earthquake.</t>
  </si>
  <si>
    <t>Raupo swamp trench</t>
  </si>
  <si>
    <t>1745 AD</t>
  </si>
  <si>
    <t>1602 AD</t>
  </si>
  <si>
    <t>1459 AD</t>
  </si>
  <si>
    <t>1316 AD</t>
  </si>
  <si>
    <t>Silt within a peat layer inferred to have been flushed in by an earthquake. Inferred to be related to an 1888 earthquake-triggered landslide. Inferred to be the 1888 earthquake, consistent with palynology and 14C ages.</t>
  </si>
  <si>
    <t>Silt within a peat layer inferred to have been flushed in by an earthquake. Age from a peat accumulation rate calculated from C14 ages calibrated using southern hemisphere cuve of Stuiver and Reimer (1986) and a 30 year offset.</t>
  </si>
  <si>
    <t>As above</t>
  </si>
  <si>
    <t>81-200</t>
  </si>
  <si>
    <t>Range of inter-event times that were in turn calculated from peat accumulation rates.</t>
  </si>
  <si>
    <t>Matagouri Flat trench</t>
  </si>
  <si>
    <t>1685-1835 AD</t>
  </si>
  <si>
    <t>Bracketed by two C14 ages calibrated using CALIB4.3 (SHCAL04?). Refined in an OxCal model using a historical (1840 AD) and relative soil age constraints.</t>
  </si>
  <si>
    <t>1415-1625 AD</t>
  </si>
  <si>
    <t>Bracketed by two C14 ages calibrated using CALIB4.3 (SHCAL04?). Refined in an OxCal model using a relative soil age constraint.</t>
  </si>
  <si>
    <t>Langridge et al. (2013)</t>
  </si>
  <si>
    <t>2016 AD</t>
  </si>
  <si>
    <t>Bracketed by C14 ages but oldest conflicts with another age. Calibrated using SHCAL13. OxCal model including historical age constraints. 2 sigma uncertainties. Alternative age model is 1828-115 cal. yr BP. Note this trench was not ruptured in the 2016 Kaikoura earthquake.</t>
  </si>
  <si>
    <t>Bracketed by C14 ages but youngest conflicts with another age. Calibrated using SHCAL13. OxCal model, 2 sigma uncertainties. Alternative age model is 3473-1894 cal. yr BP.</t>
  </si>
  <si>
    <t>1704G</t>
  </si>
  <si>
    <t>1705G</t>
  </si>
  <si>
    <t>2403D</t>
  </si>
  <si>
    <t>2113D</t>
  </si>
  <si>
    <t>2114D</t>
  </si>
  <si>
    <t>2120D</t>
  </si>
  <si>
    <t>2808D</t>
  </si>
  <si>
    <t>0301E</t>
  </si>
  <si>
    <t>0302E</t>
  </si>
  <si>
    <t>0304E</t>
  </si>
  <si>
    <t>2.8-4.9
6</t>
  </si>
  <si>
    <t>3.8
1.5-2</t>
  </si>
  <si>
    <t>3.8
2</t>
  </si>
  <si>
    <t>3.2
1.8</t>
  </si>
  <si>
    <t>2.5
1</t>
  </si>
  <si>
    <t>3.4
1</t>
  </si>
  <si>
    <t>3.4
&lt;1</t>
  </si>
  <si>
    <t>4.7
4-5</t>
  </si>
  <si>
    <t>1</t>
  </si>
  <si>
    <t>2.3 (1.8-2.8)</t>
  </si>
  <si>
    <t>7.5 (6.2-9.0)</t>
  </si>
  <si>
    <t>4.2 (3.6-4.9)</t>
  </si>
  <si>
    <t>4.4 (3.3-5.2)</t>
  </si>
  <si>
    <t>3.7 (3.0-4.6)</t>
  </si>
  <si>
    <t>6.7 (5.8-7.8)</t>
  </si>
  <si>
    <t>2.7 (2.1-3.5)</t>
  </si>
  <si>
    <t>3.6 (2.9-4.3)</t>
  </si>
  <si>
    <r>
      <t xml:space="preserve">Calculated using CFM dip and inferred uncertainties of </t>
    </r>
    <r>
      <rPr>
        <sz val="10"/>
        <color theme="1"/>
        <rFont val="Calibri"/>
        <family val="2"/>
      </rPr>
      <t>±</t>
    </r>
    <r>
      <rPr>
        <sz val="10"/>
        <color theme="1"/>
        <rFont val="Calibri"/>
        <family val="2"/>
        <scheme val="minor"/>
      </rPr>
      <t>0.5 m.</t>
    </r>
  </si>
  <si>
    <r>
      <t xml:space="preserve">Calculated using CFM dip and inferred V uncertainties of </t>
    </r>
    <r>
      <rPr>
        <sz val="10"/>
        <color theme="1"/>
        <rFont val="Calibri"/>
        <family val="2"/>
      </rPr>
      <t>±</t>
    </r>
    <r>
      <rPr>
        <sz val="10"/>
        <color theme="1"/>
        <rFont val="Calibri"/>
        <family val="2"/>
        <scheme val="minor"/>
      </rPr>
      <t>0.5 m.</t>
    </r>
  </si>
  <si>
    <r>
      <t xml:space="preserve">Calculated using CFM dip and inferred H uncertainties of </t>
    </r>
    <r>
      <rPr>
        <sz val="10"/>
        <color theme="1"/>
        <rFont val="Calibri"/>
        <family val="2"/>
      </rPr>
      <t>±</t>
    </r>
    <r>
      <rPr>
        <sz val="10"/>
        <color theme="1"/>
        <rFont val="Calibri"/>
        <family val="2"/>
        <scheme val="minor"/>
      </rPr>
      <t>0.5 m.</t>
    </r>
  </si>
  <si>
    <t>No V measured so assume pure RL. Inferred uncertainties of ±0.5 m.</t>
  </si>
  <si>
    <t>&lt;3.6 (2.9-4.3)</t>
  </si>
  <si>
    <t>Pond</t>
  </si>
  <si>
    <r>
      <rPr>
        <sz val="10"/>
        <color theme="1"/>
        <rFont val="Calibri"/>
        <family val="2"/>
      </rPr>
      <t>≥</t>
    </r>
    <r>
      <rPr>
        <sz val="10"/>
        <color theme="1"/>
        <rFont val="Calibri"/>
        <family val="2"/>
        <scheme val="minor"/>
      </rPr>
      <t>2.1
0.56</t>
    </r>
  </si>
  <si>
    <t>≥2.2 (1.6-2.6)</t>
  </si>
  <si>
    <t>Langridge (2004)</t>
  </si>
  <si>
    <t>Smallest offset inferred to be from 1 event.</t>
  </si>
  <si>
    <t>310-490</t>
  </si>
  <si>
    <t>5-7</t>
  </si>
  <si>
    <t>Used SED to infer 5-7 events to displace radiocarbon dated McKenzie Fan 19-24 m.</t>
  </si>
  <si>
    <t>Langridge and Berryman (2005)</t>
  </si>
  <si>
    <t>McKenzie Fan</t>
  </si>
  <si>
    <t>4.5 ± 0.6
0.6 ± 0.2</t>
  </si>
  <si>
    <t>4.5 (3.9-5.2)</t>
  </si>
  <si>
    <t>Calculated using CFM dip.</t>
  </si>
  <si>
    <t>Three LiDAR measurements of 3 adjacent features and 1 field measurement.</t>
  </si>
  <si>
    <t>Riser, channel</t>
  </si>
  <si>
    <t>Glyn Wye Homestead fence</t>
  </si>
  <si>
    <t>Fence 1.35 km west of Glyn Wye</t>
  </si>
  <si>
    <t>Glyn Wye Moraine terminus fence</t>
  </si>
  <si>
    <t>Fence</t>
  </si>
  <si>
    <t>Cowan (1989, 1991)</t>
  </si>
  <si>
    <t>1888 earthquake offset measured by McKay (1890) and presumable converted to m by Cowan (1989). No uncertainties reported.</t>
  </si>
  <si>
    <t>Cowan, H.A. 1989 An evaluation of the Late Quaternary displacements and seismic hazard associated with the Hope and Kakapo Faults, Amuri District, north Canterbury. MSc (Engineering Geology) thesis, University of Canterbury.</t>
  </si>
  <si>
    <t>Maruia Trench-1</t>
  </si>
  <si>
    <t>Maruia Trench-2</t>
  </si>
  <si>
    <t>1483-1840 AD</t>
  </si>
  <si>
    <t>OxCal model using two radiocarbon ages predating event and historical age constraint. Calibration method not stated but presume SHCAL13.</t>
  </si>
  <si>
    <t>Langridge and Howarth (2018)</t>
  </si>
  <si>
    <t>1426-1607 AD</t>
  </si>
  <si>
    <t>OxCal model using two radiocarbon ages postdating event and one pre-dating. Calibration method not stated but presume SHCAL13.</t>
  </si>
  <si>
    <t>754-1486 AD</t>
  </si>
  <si>
    <t>179-749 AD</t>
  </si>
  <si>
    <t>OxCal model using ages from nearby pits. Calibration method not stated but presume SHCAL13.</t>
  </si>
  <si>
    <t>&lt;1517-1843 AD</t>
  </si>
  <si>
    <t>OxCal model using reworked charcoal in colluvial wedge. Calibration method not stated but presume SHCAL13.</t>
  </si>
  <si>
    <t>&lt;1453-1596 AD</t>
  </si>
  <si>
    <t>OxCal model using reworked charcoals in colluvial wedge. Calibration method not stated but presume SHCAL13.</t>
  </si>
  <si>
    <t>717-945 AD</t>
  </si>
  <si>
    <t>OxCal model using one radiocarbon age postdating event and an OSL age pre-dating from nearby pit. Calibration method not stated but presume SHCAL13.</t>
  </si>
  <si>
    <t>213-735 AD</t>
  </si>
  <si>
    <t>OxCal model using OSL ages from nearby pits</t>
  </si>
  <si>
    <t>Coates-1 offset channel</t>
  </si>
  <si>
    <t>3.3 ± 1</t>
  </si>
  <si>
    <t>From a total offset of 10 ± 1.5 m and inferred to be three events from nearby trench.</t>
  </si>
  <si>
    <t>Lake Brunner cores</t>
  </si>
  <si>
    <t>1586-1751 AD</t>
  </si>
  <si>
    <t>~1400</t>
  </si>
  <si>
    <t>~1125</t>
  </si>
  <si>
    <t>~925</t>
  </si>
  <si>
    <t>~550</t>
  </si>
  <si>
    <t>~350</t>
  </si>
  <si>
    <t>Preliminary OxCal model from age depth modelling. Calibrated using SHCal13.</t>
  </si>
  <si>
    <t>OxCal model from age depth modelling. Calibrated using SHCal13. Inferred to be 1717 AD earthquake.</t>
  </si>
  <si>
    <t>Three bracketing C14 ages recalibrated (SHCAL13) and an OxCal model by Howarth et al. (2018).</t>
  </si>
  <si>
    <t>One C14 age from branch within shear zone predates MRE. Historical age constraint used for minimum age. Recalibrated (SHCAL13) and an OxCal model by Howarth et al. (2018).</t>
  </si>
  <si>
    <t>Matagouri Flat 7</t>
  </si>
  <si>
    <t>Hope River 11</t>
  </si>
  <si>
    <t>Hope River 20</t>
  </si>
  <si>
    <t>3 ± 0.4</t>
  </si>
  <si>
    <t>2.6 ± 0.3</t>
  </si>
  <si>
    <t>Debris deposit</t>
  </si>
  <si>
    <t>Landslip Stream to Hope River</t>
  </si>
  <si>
    <t>3 ± 0.6</t>
  </si>
  <si>
    <t>Smallest offset inferred to be from 1 event. From LiDAR data. Offset measured 3 times to quantify uncertainities.</t>
  </si>
  <si>
    <t>Smallest offset inferred to be from 1 event. Field measurement.</t>
  </si>
  <si>
    <r>
      <t xml:space="preserve">Monte Carlo sampling of 21 offsets of </t>
    </r>
    <r>
      <rPr>
        <sz val="10"/>
        <color theme="1"/>
        <rFont val="Calibri"/>
        <family val="2"/>
      </rPr>
      <t>≤</t>
    </r>
    <r>
      <rPr>
        <sz val="10"/>
        <color theme="1"/>
        <rFont val="Calibri"/>
        <family val="2"/>
        <scheme val="minor"/>
      </rPr>
      <t>15 m  from LiDAR and field measurements. Grouped into "steps" of 2.91 ± 0.54 m (1 event), 5.07 ± 1.16 m (2 events), 7.47 ± 1.28 m (3 events), 10.18 ± 1.75 m (4 events) and 14.77 ± 1.72 m (5 events).</t>
    </r>
  </si>
  <si>
    <t>Two bracketing C14 ages, one charcoal post and one branch in shear zone pre-MRE. Recalibrated (SHCAL13) and an OxCal model by Howarth et al. (2018).</t>
  </si>
  <si>
    <t>Two bracketing C14 ages. Oldest assumed from coseismic aggradation event. Only one strand trenched. Recalibrated (SHCAL13) and an OxCal model by Howarth et al. (2018).</t>
  </si>
  <si>
    <t>Three bracketing C14 ages - two from colluvial wedge in trench, one from tree buried by landslide nearby. Recalibrated (SHCAL13) and an OxCal model by Howarth et al. (2018).</t>
  </si>
  <si>
    <t>Two C14 ages pre-date MRE. Historical age constraint used for minimum age. Recalibrated (SHCAL13) and an OxCal model by Howarth et al. (2018).</t>
  </si>
  <si>
    <t>Two C14 ages pre-date MRE. Historical age constraint used for minimum age. Recalibrated (SHCAL13) and an OxCal model by Howarth et al. (2018). Inferred to be the 1717 AD earthquake by Howarth et al. (2018)?</t>
  </si>
  <si>
    <t>One C14 age. Recalibrated (SHCAL13) and an OxCal model using a historical age constraint by Howarth et al. (2016). Ages reported by Howarth et al. (2018). Inferred to be the 1717 AD earthquake.</t>
  </si>
  <si>
    <t>Two bracketing C14 ages. Recalibrated (SHCAL13) and an OxCal model by Howarth et al. (2016). Ages reported by Howarth et al. (2018).</t>
  </si>
  <si>
    <t>Bracketing C14 ages. Recalibrated (SHCAL13) and an OxCal model using a historical age constraint by Howarth et al. (2016). Ages reported by Howarth et al. (2018). Inferred to be the 1717 AD earthquake.</t>
  </si>
  <si>
    <t>Bracketing C14 ages. Recalibrated (SHCAL13) and an OxCal model by Howarth et al. (2016). Ages reported by Howarth et al. (2018).</t>
  </si>
  <si>
    <t>Terako Marker T</t>
  </si>
  <si>
    <t>Terako Marker U</t>
  </si>
  <si>
    <t>V considered to be low so consider represent net SED</t>
  </si>
  <si>
    <t>Riser?</t>
  </si>
  <si>
    <t>Measured by back-slip of LiDAR data. Smallest offset measured so assumed SED.</t>
  </si>
  <si>
    <t>Terako surface markers combined</t>
  </si>
  <si>
    <t>Terako surface and subsurface markers combined</t>
  </si>
  <si>
    <t>Risers and channels</t>
  </si>
  <si>
    <t>Terako subsurface markers</t>
  </si>
  <si>
    <t>4.4 ± 1</t>
  </si>
  <si>
    <t>Buried channels</t>
  </si>
  <si>
    <t>3.2 ± 1</t>
  </si>
  <si>
    <t>Measured by back-slip of pseudo 3D GPR data, total range 6-108 m. Analysed peaks in summed pdf curve and histogram of differences between successive offsets. Smallest difference peak considered best value.</t>
  </si>
  <si>
    <t>Analysed peaks in summed pdf curve and histogram of differences between successive offsets. Smallest difference peak considered best value.</t>
  </si>
  <si>
    <t>9.337-9.515</t>
  </si>
  <si>
    <t>Measured by back-slip of LiDAR data of a flight of degradation terraces and channels, total range 3-200 m. Analysed peaks in summed pdf curve and histogram of differences between successive offsets. Smallest difference peak considered best value.</t>
  </si>
  <si>
    <t>Lake McRae trench</t>
  </si>
  <si>
    <t>1-2</t>
  </si>
  <si>
    <t>&lt;1900-2000</t>
  </si>
  <si>
    <t>Lake McRae cores</t>
  </si>
  <si>
    <t>1575 (1012-2166) cal. yr BP</t>
  </si>
  <si>
    <t>Radiocarbon age of charcoal from colluvial wedge that may relate to MRE or PE. No info on calibration but assume SHCAL13 and 2 sigma uncertainties.</t>
  </si>
  <si>
    <t>From sedimentation rate obtained from an age model with three radiocarbon ages and OxCal 4.2.</t>
  </si>
  <si>
    <t>Porters Pass Trench 1</t>
  </si>
  <si>
    <t>Bracketed by two peat radiocarbon ages. Calibrated using SHCAL98. 2 sigma uncertainties.</t>
  </si>
  <si>
    <t>6700-5700 cal. yr BP</t>
  </si>
  <si>
    <t>9000-8400 cal. yr BP</t>
  </si>
  <si>
    <t>Bracketed by charcoal and peat radiocarbon ages. Calibrated using SHCAL98. 2 sigma uncertainties.</t>
  </si>
  <si>
    <t>6000-4500 cal. yr BP</t>
  </si>
  <si>
    <t>1704-764 cal. yr BP</t>
  </si>
  <si>
    <t>969-310 cal. yr BP</t>
  </si>
  <si>
    <t>Combined Porters Pass Trench 1 and nearby sites</t>
  </si>
  <si>
    <t>2700-1400 cal. yr BP</t>
  </si>
  <si>
    <t>600-500 cal. yr BP</t>
  </si>
  <si>
    <t>1100-800 cal. yr BP</t>
  </si>
  <si>
    <t>2500-2300 cal. yr BP</t>
  </si>
  <si>
    <t>100-3700</t>
  </si>
  <si>
    <t>Range of inter-event times.</t>
  </si>
  <si>
    <t>Age refined from weathering rind ages for nearby rock avalanches and radiocarbon ages from a ponded swamp and a nearby trench.</t>
  </si>
  <si>
    <t>From Trench 1</t>
  </si>
  <si>
    <t>Age refined from radiocarbon age from nearby auger hole to base of ponded peat.</t>
  </si>
  <si>
    <t>Age refined from radiocarbon age from peat in nearby auger hole and pit.</t>
  </si>
  <si>
    <t>Porters Pass Trench 3</t>
  </si>
  <si>
    <t>&lt;4400 cal. yr BP</t>
  </si>
  <si>
    <t>Maximum radiocarbon age from charcoal layer that appears to stop at the fault. Authors consider this event likely correlates to the 2500-2300 cal. yr BP earthquake 3 in Trench 1. Calibrated using SHCAL98. 2 sigma uncertainties.</t>
  </si>
  <si>
    <t>≥7500-11700</t>
  </si>
  <si>
    <t>Inter-event time between the last two earthquakes.</t>
  </si>
  <si>
    <t>Barrell et al. (2020)</t>
  </si>
  <si>
    <t>Langridge et al. (2020)</t>
  </si>
  <si>
    <t>Hatem et al. (2020)</t>
  </si>
  <si>
    <t>7-g</t>
  </si>
  <si>
    <t>16-n, 17-o</t>
  </si>
  <si>
    <t>74-bu, 75-bv, 75'-bv'</t>
  </si>
  <si>
    <t>83-ce</t>
  </si>
  <si>
    <t>84-cf, 85-cg, 86-ch</t>
  </si>
  <si>
    <t>88-ci</t>
  </si>
  <si>
    <t>101-cu, 102-cv</t>
  </si>
  <si>
    <t>135-ed, 136-ee</t>
  </si>
  <si>
    <t>139-ch, 140-ci</t>
  </si>
  <si>
    <t>181-fw</t>
  </si>
  <si>
    <t>3.8 +1.4/-1.1</t>
  </si>
  <si>
    <t>4.3 +1.3/-0.5</t>
  </si>
  <si>
    <t>3.5 +1/-2</t>
  </si>
  <si>
    <t>3.7 +1/-1.2</t>
  </si>
  <si>
    <t>4.7 +1/-0.5</t>
  </si>
  <si>
    <t>4.2 +1/-0.5</t>
  </si>
  <si>
    <t>4.4 +1.8/-1.9</t>
  </si>
  <si>
    <t>3.9  +1.1/-1.5</t>
  </si>
  <si>
    <t>4.5 +1.1/-0.5</t>
  </si>
  <si>
    <t>3.7 +1/-1.5</t>
  </si>
  <si>
    <t>Channel (two sides)</t>
  </si>
  <si>
    <t>Channel, Ridge crests</t>
  </si>
  <si>
    <t>Alluvial fan edge, channel</t>
  </si>
  <si>
    <t>Bumps and troughs</t>
  </si>
  <si>
    <t>Channel sides</t>
  </si>
  <si>
    <t>Measured by back-slip of LiDAR data using 4 datasets and by 3 different people. Interpreted to be the last event.</t>
  </si>
  <si>
    <t>Smallest offsets (666-675) combined</t>
  </si>
  <si>
    <t>4.2 ± 1.2</t>
  </si>
  <si>
    <t>Peak of pdf curve</t>
  </si>
  <si>
    <t>COPD curve quality 1 and 2</t>
  </si>
  <si>
    <t>Smallest peak on COPD curve of the quality 1 and 2 measurements of a range of size offsets. COPD curves for just quality 1 and quality 2 on their own have the same peak.</t>
  </si>
  <si>
    <t>Incremental slips that separate successive COPD values - quality 1</t>
  </si>
  <si>
    <t>4.2 +1.3/-0.9</t>
  </si>
  <si>
    <t>Pdf and histograms of the smallest difference between COPD curve peaks</t>
  </si>
  <si>
    <t>Incremental slips that separate successive COPD values - quality 2</t>
  </si>
  <si>
    <t>4.5 +1.8/-1.0</t>
  </si>
  <si>
    <t>4.5 +2.0/-1.4</t>
  </si>
  <si>
    <t>7 ± 2
4.1 ± 1</t>
  </si>
  <si>
    <t>6 ± 2.5</t>
  </si>
  <si>
    <t>5.5 ± 3</t>
  </si>
  <si>
    <t>No V measured so could be a minimum net SED.</t>
  </si>
  <si>
    <t>Smallest offset inferred to be from MRE.</t>
  </si>
  <si>
    <t>Tinline Downs</t>
  </si>
  <si>
    <t>1.3 ± 0.4</t>
  </si>
  <si>
    <t>1.5 ± 0.6
1.1 ± 0.5</t>
  </si>
  <si>
    <t>Calculated using a dip of 50 ± 20 from Litchfield et al. (2018)</t>
  </si>
  <si>
    <t>Farm track</t>
  </si>
  <si>
    <r>
      <t>2016 Kaik</t>
    </r>
    <r>
      <rPr>
        <sz val="10"/>
        <color theme="1"/>
        <rFont val="Calibri"/>
        <family val="2"/>
      </rPr>
      <t>ō</t>
    </r>
    <r>
      <rPr>
        <sz val="10"/>
        <color theme="1"/>
        <rFont val="Calibri"/>
        <family val="2"/>
        <scheme val="minor"/>
      </rPr>
      <t xml:space="preserve">ura Earthquake rupture. Measured using RTK GPS. </t>
    </r>
  </si>
  <si>
    <t>Kearse et al. (2018)</t>
  </si>
  <si>
    <t>Heavers Creek</t>
  </si>
  <si>
    <t>Sites 3, 4</t>
  </si>
  <si>
    <t>Sites 42, 46</t>
  </si>
  <si>
    <t>0.25 ± 0.4
1.1 ± 0.5</t>
  </si>
  <si>
    <t>1.1 (0.6-1.8)</t>
  </si>
  <si>
    <t>Calculated using a dip of 80 ± 10 from Litchfield et al. (2018)</t>
  </si>
  <si>
    <t>Upper Kowhai</t>
  </si>
  <si>
    <t>Upper Kowhai - Manakau</t>
  </si>
  <si>
    <t>Site 146</t>
  </si>
  <si>
    <t>Site 147</t>
  </si>
  <si>
    <t>2.8 ± 1.6</t>
  </si>
  <si>
    <t>0.7 ± 0.5</t>
  </si>
  <si>
    <t>Talus slope</t>
  </si>
  <si>
    <r>
      <t>2016 Kaik</t>
    </r>
    <r>
      <rPr>
        <sz val="10"/>
        <color theme="1"/>
        <rFont val="Calibri"/>
        <family val="2"/>
      </rPr>
      <t>ō</t>
    </r>
    <r>
      <rPr>
        <sz val="10"/>
        <color theme="1"/>
        <rFont val="Calibri"/>
        <family val="2"/>
        <scheme val="minor"/>
      </rPr>
      <t>ura Earthquake rupture. Measured from lidar data using LaDiCaoz.</t>
    </r>
  </si>
  <si>
    <t>2016 Kaikōura Earthquake rupture. Measured from Lidar profile.</t>
  </si>
  <si>
    <t>Jordan</t>
  </si>
  <si>
    <t>Sites 124, 125</t>
  </si>
  <si>
    <t>Sites 126, 127</t>
  </si>
  <si>
    <t>Sites 128, 129</t>
  </si>
  <si>
    <t>Sites 130, 131</t>
  </si>
  <si>
    <t>Sites 132, 133</t>
  </si>
  <si>
    <t>Sites 136, 137</t>
  </si>
  <si>
    <t>Site 139</t>
  </si>
  <si>
    <t>Site 140</t>
  </si>
  <si>
    <t>Sites 142, 143</t>
  </si>
  <si>
    <t>Sites 144, 145</t>
  </si>
  <si>
    <t>Site 123</t>
  </si>
  <si>
    <t>Site 138</t>
  </si>
  <si>
    <t>Site 141</t>
  </si>
  <si>
    <t>Jordan Thrust</t>
  </si>
  <si>
    <t>37 (28-48)</t>
  </si>
  <si>
    <t>8.0 ± 1
1.5 ± 0.5</t>
  </si>
  <si>
    <t>12 ± 1.0
1 ± 0.7</t>
  </si>
  <si>
    <t>9.5 ± 2.5
1.5 ± 0.5</t>
  </si>
  <si>
    <t>5.5 ± 1.0
3.6 ± 1.0</t>
  </si>
  <si>
    <t>6.5 ± 1.0
0.8 ± 0.5</t>
  </si>
  <si>
    <t>3.3 ± 2.0
0.8 ± 0.5</t>
  </si>
  <si>
    <t>1.7 ± 2.0
2.1 ± 0.5</t>
  </si>
  <si>
    <t>4.6 ± 0.4</t>
  </si>
  <si>
    <t>2.0 ± 1.0
0.2 ± 0.2</t>
  </si>
  <si>
    <t>1.2 ± 1.0
0.6 ± 0.5</t>
  </si>
  <si>
    <t>3.0 ± 0.4</t>
  </si>
  <si>
    <t>12.1 (11-13.6)</t>
  </si>
  <si>
    <t>Calculated using the CFM dip.</t>
  </si>
  <si>
    <t>6.6 (5.5-8.1)</t>
  </si>
  <si>
    <t>Sites 134, 135</t>
  </si>
  <si>
    <t>2.0 (1.0-3.1)</t>
  </si>
  <si>
    <t>Landslide margin</t>
  </si>
  <si>
    <t>Thalweg</t>
  </si>
  <si>
    <t>Ridge, thalweg</t>
  </si>
  <si>
    <t>Rill</t>
  </si>
  <si>
    <t>River gravels</t>
  </si>
  <si>
    <r>
      <t>2016 Kaik</t>
    </r>
    <r>
      <rPr>
        <sz val="10"/>
        <color theme="1"/>
        <rFont val="Calibri"/>
        <family val="2"/>
      </rPr>
      <t>ō</t>
    </r>
    <r>
      <rPr>
        <sz val="10"/>
        <color theme="1"/>
        <rFont val="Calibri"/>
        <family val="2"/>
        <scheme val="minor"/>
      </rPr>
      <t xml:space="preserve">ura Earthquake rupture. Surveyed using RTK GPS. </t>
    </r>
  </si>
  <si>
    <t xml:space="preserve">2016 Kaikōura Earthquake rupture. Surveyed using RTK GPS. </t>
  </si>
  <si>
    <t xml:space="preserve">2016 Kaikōura Earthquake rupture. RL surveyed using RTK GPS, V using differential Lidar profile. </t>
  </si>
  <si>
    <t>2016 Kaikōura Earthquake rupture. Measured from lidar data using LaDiCaoz.</t>
  </si>
  <si>
    <t>Sites 8, 7</t>
  </si>
  <si>
    <t>Sites 10, 9</t>
  </si>
  <si>
    <t>Sites 12, 11</t>
  </si>
  <si>
    <t>Site 17</t>
  </si>
  <si>
    <t>Sites 20, 21</t>
  </si>
  <si>
    <t>Site 23</t>
  </si>
  <si>
    <t>Sites 25, 26</t>
  </si>
  <si>
    <t>Sites 29, 30</t>
  </si>
  <si>
    <t>Sites 31, 32</t>
  </si>
  <si>
    <t>Site 34</t>
  </si>
  <si>
    <t>Site 35</t>
  </si>
  <si>
    <t>Site 37</t>
  </si>
  <si>
    <t>Site 38</t>
  </si>
  <si>
    <t>Site 40</t>
  </si>
  <si>
    <t>Sites 41, 44</t>
  </si>
  <si>
    <t>Site 55</t>
  </si>
  <si>
    <t>Site 58</t>
  </si>
  <si>
    <t>Site 43</t>
  </si>
  <si>
    <t>Site 45</t>
  </si>
  <si>
    <t>Site 47</t>
  </si>
  <si>
    <t>Site 48</t>
  </si>
  <si>
    <t>Site 49</t>
  </si>
  <si>
    <t>Site 50</t>
  </si>
  <si>
    <t>Site 51</t>
  </si>
  <si>
    <t>Site 52</t>
  </si>
  <si>
    <t>Site 53</t>
  </si>
  <si>
    <t>Site 54</t>
  </si>
  <si>
    <t>Sites 56, 57</t>
  </si>
  <si>
    <t>Sites 59, 60</t>
  </si>
  <si>
    <t>Site 61</t>
  </si>
  <si>
    <t>Sites 62, 63</t>
  </si>
  <si>
    <t>Site 64</t>
  </si>
  <si>
    <t>Site 65</t>
  </si>
  <si>
    <t>Site 66</t>
  </si>
  <si>
    <t>Site 67</t>
  </si>
  <si>
    <t>Site 68</t>
  </si>
  <si>
    <t>Site 69</t>
  </si>
  <si>
    <t>Sites 70, 71</t>
  </si>
  <si>
    <t>Site 72</t>
  </si>
  <si>
    <t>Site 73</t>
  </si>
  <si>
    <t>Sites 74, 75</t>
  </si>
  <si>
    <t>Site 76</t>
  </si>
  <si>
    <t>Site 77</t>
  </si>
  <si>
    <t>Sites 78, 79</t>
  </si>
  <si>
    <t>Site 80</t>
  </si>
  <si>
    <t>Site 81</t>
  </si>
  <si>
    <t>Site 82</t>
  </si>
  <si>
    <t>Site 83</t>
  </si>
  <si>
    <t>Site 84</t>
  </si>
  <si>
    <t>Sites 85, 86</t>
  </si>
  <si>
    <t>Site 87</t>
  </si>
  <si>
    <t>Sites 88, 89</t>
  </si>
  <si>
    <t>Site 93</t>
  </si>
  <si>
    <t>Site 90</t>
  </si>
  <si>
    <t>Sites 91, 92</t>
  </si>
  <si>
    <t>Site 94</t>
  </si>
  <si>
    <t>Sites 97, 98</t>
  </si>
  <si>
    <t>Site 102</t>
  </si>
  <si>
    <t>Site 103</t>
  </si>
  <si>
    <t>Site 105</t>
  </si>
  <si>
    <t>Site 106</t>
  </si>
  <si>
    <t>Site 107</t>
  </si>
  <si>
    <t>Site 108</t>
  </si>
  <si>
    <t>Site 109</t>
  </si>
  <si>
    <t>Site 110</t>
  </si>
  <si>
    <t>Site 111</t>
  </si>
  <si>
    <t>Site 113</t>
  </si>
  <si>
    <t>Site 114</t>
  </si>
  <si>
    <t>Sites 115, 116</t>
  </si>
  <si>
    <t>Site 117</t>
  </si>
  <si>
    <t>Site 118</t>
  </si>
  <si>
    <t>Site 119</t>
  </si>
  <si>
    <t>Site 120</t>
  </si>
  <si>
    <t>Site 121</t>
  </si>
  <si>
    <t>Site 122</t>
  </si>
  <si>
    <t>Site 27</t>
  </si>
  <si>
    <t>Site 39</t>
  </si>
  <si>
    <t>Site 95</t>
  </si>
  <si>
    <t>Site 96</t>
  </si>
  <si>
    <t>Site 99</t>
  </si>
  <si>
    <t>Site 100</t>
  </si>
  <si>
    <t>Site 101</t>
  </si>
  <si>
    <t>Site 104</t>
  </si>
  <si>
    <t>Site 112</t>
  </si>
  <si>
    <t>6.7 ± 1
2.0 ± 0.5</t>
  </si>
  <si>
    <t>7.5 ± 0.6
2.4 ± 0.5</t>
  </si>
  <si>
    <t>6.8 ± 0.5
2.3 ± 0.5</t>
  </si>
  <si>
    <t>8.1 ± 3.5</t>
  </si>
  <si>
    <t>8.4 ± 0.4</t>
  </si>
  <si>
    <t>7.0 ± 3.0</t>
  </si>
  <si>
    <t>9.1 ± 0.5</t>
  </si>
  <si>
    <t>9.4 ± 0.4
0.35 ± 0.5</t>
  </si>
  <si>
    <t>9.4 ± 0.4</t>
  </si>
  <si>
    <t>11.3 ± 3.8</t>
  </si>
  <si>
    <t>7.5 ± 0.4</t>
  </si>
  <si>
    <t>7.7 ± 0.7</t>
  </si>
  <si>
    <t>11.8 ± 0.6
1.8 ± 0.4</t>
  </si>
  <si>
    <t>10.8 ± 1.2
0.4 ± 0.4</t>
  </si>
  <si>
    <t>8.9 ± 0.4
0.8 ± 0.4</t>
  </si>
  <si>
    <t>9.7 ± 0.6</t>
  </si>
  <si>
    <t>6.2 ± 0.6</t>
  </si>
  <si>
    <t>9.7 ± 1.2</t>
  </si>
  <si>
    <t>9.8 ± 0.6</t>
  </si>
  <si>
    <t>10.8 ± 0.4</t>
  </si>
  <si>
    <t>6.7 ± 0.5</t>
  </si>
  <si>
    <t>10.2 ± 0.5
0.5 ± 0.5</t>
  </si>
  <si>
    <t>11.4 ± 0.7</t>
  </si>
  <si>
    <t>10.2 ± 0.7</t>
  </si>
  <si>
    <t>9.7 ± 0.8</t>
  </si>
  <si>
    <t>9.0 ± 0.4</t>
  </si>
  <si>
    <t>9.1 ± 0.4</t>
  </si>
  <si>
    <t>8.0 ± 0.4</t>
  </si>
  <si>
    <t>6.0 ± 2.0</t>
  </si>
  <si>
    <t>7.5 ± 2.0</t>
  </si>
  <si>
    <t>8.5 ± 2.0</t>
  </si>
  <si>
    <t>6.9 ± 1.3</t>
  </si>
  <si>
    <t>12.8 ± 3.0
1.3 ± 1.0</t>
  </si>
  <si>
    <t>7.0 ± 2.0</t>
  </si>
  <si>
    <t>9.0 ± 5.0
1.0 ± 1.0</t>
  </si>
  <si>
    <t>8.9 ± 0.4</t>
  </si>
  <si>
    <t>7.5 ± 0.4
1.6 ± 0.4</t>
  </si>
  <si>
    <t>7.5 ± 0.8</t>
  </si>
  <si>
    <t>8.9 ± 1.7</t>
  </si>
  <si>
    <t>7.1 ± 0.8</t>
  </si>
  <si>
    <t>8.7 ± 2.3</t>
  </si>
  <si>
    <t>4.6 ± 2.0</t>
  </si>
  <si>
    <t>3.4 ± 0.4
1.2 ± 0.4</t>
  </si>
  <si>
    <t>5.5 ± 2.0</t>
  </si>
  <si>
    <t>8.0 ± 2.0</t>
  </si>
  <si>
    <t>4.8 ± 0.4
0.85 ± 0.4</t>
  </si>
  <si>
    <t>8.5 ± 3.0
1.6 ± 1.0</t>
  </si>
  <si>
    <t>10.8 ± 3.2</t>
  </si>
  <si>
    <t>9.7 ± 2.2</t>
  </si>
  <si>
    <t>10.9 ± 0.9</t>
  </si>
  <si>
    <t>5.0 ± 2.0</t>
  </si>
  <si>
    <t>4.2 ± 0.4</t>
  </si>
  <si>
    <t>5.0 ± 1.0
1.5 ± 0.4</t>
  </si>
  <si>
    <t>10.5 ± 3.0</t>
  </si>
  <si>
    <t>6.0 ± 1.0
0.7 ± 0.4</t>
  </si>
  <si>
    <t>5.5 ± 3.4</t>
  </si>
  <si>
    <t>4.8 ± 0.5
0.4 ± 0.4</t>
  </si>
  <si>
    <t>10.6 ± 3.0</t>
  </si>
  <si>
    <t>2.7 ± 1.0</t>
  </si>
  <si>
    <t>8.2 ± 1.0
4.1 ± 0.4</t>
  </si>
  <si>
    <t>9.5 ± 0.4</t>
  </si>
  <si>
    <t>8.6 ± 3.0</t>
  </si>
  <si>
    <t>8.0 ± 1.3</t>
  </si>
  <si>
    <t>9.8 ± 0.4</t>
  </si>
  <si>
    <t>6.6 ± 2.0</t>
  </si>
  <si>
    <t>5.8 ± 2.0</t>
  </si>
  <si>
    <t>7.3 ± 0.4</t>
  </si>
  <si>
    <t>7.6 ± 0.4</t>
  </si>
  <si>
    <t>6.5 ± 2.0
0.4 ± 0.5</t>
  </si>
  <si>
    <t>5.8 ± 1.0</t>
  </si>
  <si>
    <t>3.5 ± 0.4</t>
  </si>
  <si>
    <t>2.1 ± 0.4</t>
  </si>
  <si>
    <t>3.7 ± 0.8</t>
  </si>
  <si>
    <t>3.4 ± 0.4</t>
  </si>
  <si>
    <t>2.0 ± 0.5</t>
  </si>
  <si>
    <t>2.5 ± 0.5</t>
  </si>
  <si>
    <t>2.4 ± 0.5</t>
  </si>
  <si>
    <t>1.0 ± 0.4</t>
  </si>
  <si>
    <t>1.75 ± 0.4</t>
  </si>
  <si>
    <t>2.5 ± 0.4</t>
  </si>
  <si>
    <t>1.5 ± 0.4</t>
  </si>
  <si>
    <t>2.2 ± 0.4</t>
  </si>
  <si>
    <t>8.0 (7.2-8.9)</t>
  </si>
  <si>
    <t>7.3 (6.6-8.2)</t>
  </si>
  <si>
    <t>9.4 (9.0-9.9)</t>
  </si>
  <si>
    <t>12.0 (11.3-12.7)</t>
  </si>
  <si>
    <t>10.8 (9.6-12.0)</t>
  </si>
  <si>
    <t>8.9 (8.5-9.4)</t>
  </si>
  <si>
    <t>10.2 (9.7-10.8)</t>
  </si>
  <si>
    <t>12.9 (9.8-16.1)</t>
  </si>
  <si>
    <t>9.1 (4.0-14.2)</t>
  </si>
  <si>
    <t>7.7 (7.2-8.3)</t>
  </si>
  <si>
    <t>3.7 (3.1-4.3)</t>
  </si>
  <si>
    <t>8.7 (5.5-12.0)</t>
  </si>
  <si>
    <t>5.3 (4.2-6.5)</t>
  </si>
  <si>
    <t>6.1 (5.0-7.1)</t>
  </si>
  <si>
    <t>4.8 (4.3-5.4)</t>
  </si>
  <si>
    <t>6.5 (4.5-8.6)</t>
  </si>
  <si>
    <t>Railway line</t>
  </si>
  <si>
    <t>Fence, SH1</t>
  </si>
  <si>
    <t>Trench margin</t>
  </si>
  <si>
    <t>Fence posts</t>
  </si>
  <si>
    <t>Channel levee</t>
  </si>
  <si>
    <t>Fence, flat paddock</t>
  </si>
  <si>
    <t>Cottage foundation</t>
  </si>
  <si>
    <t>Hedgerow</t>
  </si>
  <si>
    <t>Fence, fence posts</t>
  </si>
  <si>
    <t>Tree</t>
  </si>
  <si>
    <t>Terrace edge</t>
  </si>
  <si>
    <t>Free face</t>
  </si>
  <si>
    <t>Free face, terrace edge</t>
  </si>
  <si>
    <t>Tree root</t>
  </si>
  <si>
    <t>Vegetation</t>
  </si>
  <si>
    <t>Landslide Margin, talus slope</t>
  </si>
  <si>
    <t>Channel levee, river gravels</t>
  </si>
  <si>
    <t>Animal track</t>
  </si>
  <si>
    <t>Log</t>
  </si>
  <si>
    <t>Beach gravel</t>
  </si>
  <si>
    <t>Sand dunes</t>
  </si>
  <si>
    <t>Cropped field</t>
  </si>
  <si>
    <t>Landscape</t>
  </si>
  <si>
    <t>Flat river gravels</t>
  </si>
  <si>
    <t>Flat paddock</t>
  </si>
  <si>
    <t>No V so consider could be a min.</t>
  </si>
  <si>
    <t>No marker to measure RL, so assume V is a min.</t>
  </si>
  <si>
    <t xml:space="preserve">2016 Kaikōura Earthquake rupture. RL surveyed using RTK GPS, V measured from lidar profile. </t>
  </si>
  <si>
    <t>2016 Kaikōura Earthquake rupture. Surveyed using total station.</t>
  </si>
  <si>
    <t xml:space="preserve">2016 Kaikōura Earthquake rupture. RL surveyed using total station, V surveyed using RTK GPS. </t>
  </si>
  <si>
    <t>2016 Kaikōura Earthquake rupture. Measured using orthophoto.</t>
  </si>
  <si>
    <t>2016 Kaikōura Earthquake rupture. Measured with tape measure.</t>
  </si>
  <si>
    <t>2016 Kaikōura Earthquake rupture. Surveyed using a total station.</t>
  </si>
  <si>
    <t>2016 Kaikōura Earthquake rupture. Measured using lidar profile.</t>
  </si>
  <si>
    <t>2016 Kaikōura Earthquake rupture. RL measured with tape measure, V from lidar data using LaDiCaoz.</t>
  </si>
  <si>
    <t>2016 Kaikōura Earthquake rupture. Measured using differential lidar profile.</t>
  </si>
  <si>
    <t>5-7 ka</t>
  </si>
  <si>
    <t>13-14 ka</t>
  </si>
  <si>
    <t>Minimum age constrained by radiocarbon age calibrated using CalPal (Weninger and Joris 2004), 2 sigma uncertainties. Maximum age from absence of &gt;14 ka sediments, but acknowledge could be up to 24 ka.</t>
  </si>
  <si>
    <t>Bracketed by two radiocarbon ages calibrated using CalPal (Weninger and Joris 2004), 2 sigma uncertainties.  Refined to 5-7 ka because colluvial wedge sits midway between the dated samples.</t>
  </si>
  <si>
    <t>Not explicitly stated, but presumably 2 events in 13.5 ka.</t>
  </si>
  <si>
    <t>&lt;3.5 ka</t>
  </si>
  <si>
    <t>c. 17.5-20 ka</t>
  </si>
  <si>
    <t>Bracketed by two radiocarbon ages  calibrated using CalPal (Weninger and Joris 2004), 2 sigma uncertainties. Age refined to first half of interval because colluvial wedge position in stratigraphy and time considered taken to form.</t>
  </si>
  <si>
    <t>8200-12000 years BP</t>
  </si>
  <si>
    <t>Bracketed by two radiocarbon ages  calibrated using CalPal (Weninger and Joris 2004), 2 sigma uncertainties. Maximum age refined based on position of the fault tip within the stratigraphy.</t>
  </si>
  <si>
    <t>c. 22600-24000</t>
  </si>
  <si>
    <t>Event post-dates 7800 ± 800 cal. BP formation and pre-dates period of erosion and subsequent deposition. Preferred age from another trench excavated ~10 km NE dated at post-3.5 ka.</t>
  </si>
  <si>
    <t>Bracketed by one radiocarbon age calibrated using CalPal (Weninger and Joris 2004), 2 sigma uncertainties and the c. 24 ka age for a faulted formation.</t>
  </si>
  <si>
    <t>6000 (5200-8600)</t>
  </si>
  <si>
    <t>Not explicitly stated but presume from 4 events in 24000 years, with uncertainties from the range of inter-event times.</t>
  </si>
  <si>
    <t xml:space="preserve">Bracketed by two radiocarbon ages calibrated using CalPal (Weninger and Joris 2004), 2 sigma uncertainties.  </t>
  </si>
  <si>
    <t>3321-152 cal. yr BP</t>
  </si>
  <si>
    <t>4811-3063 cal. yr BP</t>
  </si>
  <si>
    <t>5574-4446 cal. yr BP</t>
  </si>
  <si>
    <t>Not explicitly stated but appears to be 3 events in 7.8 ka.</t>
  </si>
  <si>
    <t>&lt;6287-6014 cal. yr BP</t>
  </si>
  <si>
    <t>Maximum radiocarbon age calibrated using CalPal (Weninger and Joris 2004), 2 sigma uncertainties.  Could be more than one event.</t>
  </si>
  <si>
    <t>6460-6014 cal. yr BP</t>
  </si>
  <si>
    <t>13000-11190 years BP</t>
  </si>
  <si>
    <t>Minimum radiocarbon age calibrated using CalPal (Weninger and Joris 2004), 2 sigma uncertainties. Maximum age inferred from position of fault tip within formation stratigraphy.</t>
  </si>
  <si>
    <t>27000-20722 cal. yr BP</t>
  </si>
  <si>
    <t>Minimum radiocarbon age calibrated using CalPal (Weninger and Joris 2004), 2 sigma uncertainties. Maximum age from faulted formation age.</t>
  </si>
  <si>
    <t>4900 (3000-15000)</t>
  </si>
  <si>
    <t>Not explicitly stated but presume from range of inter-event times.</t>
  </si>
  <si>
    <t>0.75 (0.3-1.2)</t>
  </si>
  <si>
    <t>0.8 (0.3-1.5)</t>
  </si>
  <si>
    <t>Volcanic stratigraphy</t>
  </si>
  <si>
    <t>Range  of offsets including uncertainties for the two events in a trench</t>
  </si>
  <si>
    <t>0.48 (0.4-0.7)</t>
  </si>
  <si>
    <t>0.6 (0.4-0.8)</t>
  </si>
  <si>
    <t>0.7 (0.4-1.0)</t>
  </si>
  <si>
    <t>Range  of offsets including uncertainties for the three events in a trench</t>
  </si>
  <si>
    <t>0.9 (0.3-1.8)</t>
  </si>
  <si>
    <t>Hull (1994)</t>
  </si>
  <si>
    <t>Egmont Road trenches</t>
  </si>
  <si>
    <t>Bracketed by ages for faulted and unfaulted tephra. Uncalibrated tephra radiocarbon ages 3610 ± 80 and 3320 ± 60 14C yr BP.</t>
  </si>
  <si>
    <t>Bracketed by ages for faulted and unfaulted tephra. Uncalibrated tephra radiocarbon ages 8947 ± 130 and 3610 ± 80 14C yr BP. Also states EQ2 is post-4000 years - typo?</t>
  </si>
  <si>
    <t xml:space="preserve">Bracketed by ages for faulted and unfaulted tephra. Uncalibrated tephra radiocarbon ages 12900 ± 200 and 10150 ± 100 14C yr BP. </t>
  </si>
  <si>
    <t>From the age of a faulted tephra. Uncalibrated tephra radiocarbon ages 3610 ± 80 and 3320 ± 60 14C yr BP.</t>
  </si>
  <si>
    <t xml:space="preserve">Bracketed by ages for faulted and unfaulted tephra. Uncalibrated tephra radiocarbon ages 8947 ± 130 and 3610 ± 80 14C yr BP. </t>
  </si>
  <si>
    <t>c. 4000</t>
  </si>
  <si>
    <t>Average inter-event time between 3 events.</t>
  </si>
  <si>
    <t>Waverley</t>
  </si>
  <si>
    <t>Taonui</t>
  </si>
  <si>
    <t>Waverley - Okaia 1</t>
  </si>
  <si>
    <t>Waverley Fault trench</t>
  </si>
  <si>
    <t>7000-11000</t>
  </si>
  <si>
    <t>2-3 events between 22500 and 1000 years BP.</t>
  </si>
  <si>
    <t>EQ1 (LE), EQ2 (PE)</t>
  </si>
  <si>
    <t>22500-1000 yr BP</t>
  </si>
  <si>
    <t>Two, possibly three, events bracketed between Kawakawa Tephra and a radiocarbon age of 22670 ± 250 14Cyr BP, and another radiocarbon age of  966 ± 94 14C yr BP. Two colluvial wedges.</t>
  </si>
  <si>
    <t>Townsend (1998)</t>
  </si>
  <si>
    <t>Rocky Valley Creek trench</t>
  </si>
  <si>
    <t>1050-1280 AD</t>
  </si>
  <si>
    <t>Big Creek trench</t>
  </si>
  <si>
    <t>OxCal 4.3.2 model of 5 bracketing radiocarbon ages calibrated using SHCAL13, 2 sigma uncertainties.</t>
  </si>
  <si>
    <t>13308 BC - 682 AD</t>
  </si>
  <si>
    <t>OxCal 4.3.2 model of bracketing radiocarbon and OSL ages. Radiocarbon ages calibrated using SHCAL13. 2 sigma uncertainties.</t>
  </si>
  <si>
    <t>788-1836 AD</t>
  </si>
  <si>
    <t>OxCal 4.3.2 model of maximum radiocarbon ages and a historical minimum age constraint. Radiocarbon ages calibrated using SHCAL13. 2 sigma uncertainties.</t>
  </si>
  <si>
    <t>Rocky Valley Creek and Big Creek trenches combined</t>
  </si>
  <si>
    <t>1047-1278 AD</t>
  </si>
  <si>
    <t>737-960 AD</t>
  </si>
  <si>
    <t>13314 BC - 682 AD</t>
  </si>
  <si>
    <t>Assumes EQ1 in both trenches is the same event.</t>
  </si>
  <si>
    <t>From Big Creek trench.</t>
  </si>
  <si>
    <t>From Big Creek trench, assuming EQ2 pre-dates EQ1 in Rocky Valley Creek trench.</t>
  </si>
  <si>
    <t>450-5110</t>
  </si>
  <si>
    <t>Three events in the last 15333-1339 cal. yr BP.</t>
  </si>
  <si>
    <t>1.6-2.5</t>
  </si>
  <si>
    <t>Assume DS SED = net SED</t>
  </si>
  <si>
    <t>&gt;1.2</t>
  </si>
  <si>
    <t>Fluvial sediments</t>
  </si>
  <si>
    <t>Fluvial and colluvial wedge sediments</t>
  </si>
  <si>
    <t>Measured in the trench.</t>
  </si>
  <si>
    <t>Westlake trench</t>
  </si>
  <si>
    <t>c. 3500 cal. yr BP</t>
  </si>
  <si>
    <t>c. 9000-4000 cal. yr BP</t>
  </si>
  <si>
    <t>c. 13000-10000 cal. yr BP</t>
  </si>
  <si>
    <t>&lt; c. 3500 cal. yr BP</t>
  </si>
  <si>
    <t>&lt;0.5-0.3 ka</t>
  </si>
  <si>
    <r>
      <t>Trench was ruptured in the 2016 Kaik</t>
    </r>
    <r>
      <rPr>
        <sz val="10"/>
        <color theme="1"/>
        <rFont val="Calibri"/>
        <family val="2"/>
      </rPr>
      <t>ō</t>
    </r>
    <r>
      <rPr>
        <sz val="10"/>
        <color theme="1"/>
        <rFont val="Calibri"/>
        <family val="2"/>
        <scheme val="minor"/>
      </rPr>
      <t>ura earthquake</t>
    </r>
  </si>
  <si>
    <t>c. 16 ka</t>
  </si>
  <si>
    <t>Minor fissuring inferred to be a secondary fault event. Maximum radiocarbon age calibrated using SHCal13, 2 sigma uncertainties.</t>
  </si>
  <si>
    <t>Major fissuring inferred to be a primary fault event. Radiocarbon age calibrated using SHCal13, 2 sigma uncertainties from a peat in a meander considered to form at about the same time as the earthquake. Reported as a minimum age here, but authors might have interpreted as a maximum age?</t>
  </si>
  <si>
    <t>Madill trench</t>
  </si>
  <si>
    <t>EQ1 (LE) - EQ3 (APE)</t>
  </si>
  <si>
    <t>&lt;18-20 ka</t>
  </si>
  <si>
    <t>Evidence for two events from cross-cutting relationships and the total displacement suggests there could be one more, but they can't be separated by dating.</t>
  </si>
  <si>
    <t>6000-6600</t>
  </si>
  <si>
    <t>Simonsen trenches</t>
  </si>
  <si>
    <t>5.3 ± 0.5 ka</t>
  </si>
  <si>
    <t>0.7-0.5 ka</t>
  </si>
  <si>
    <t>20-7.4 ka</t>
  </si>
  <si>
    <t xml:space="preserve">Radiocarbon age of soil in minor cracks, calibrated using SHCal13, 2 sigma uncertainties. Inferred to likely be a secondary event. </t>
  </si>
  <si>
    <t>Bracketed by two radiocarbon ages, calibrated using SHCal13, 2 sigma uncertainties. Considered to be closer to the minimum age.</t>
  </si>
  <si>
    <t xml:space="preserve">Bracketed by radiocarbon age, calibrated using SHCal13, 2 sigma uncertainties, and inferred terrace age. </t>
  </si>
  <si>
    <t>6200-7300</t>
  </si>
  <si>
    <t>From 3 events within 18-20 ka. However, at least two events within time of terrace deposits, suggesting clustering, and so an average RI may be misleading.</t>
  </si>
  <si>
    <t>Buchanan trench</t>
  </si>
  <si>
    <t>6.6 ± 0.2 ka</t>
  </si>
  <si>
    <t>Radiocarbon age of soil in fissures, calibrated using SHCal13, 2 sigma uncertainties.</t>
  </si>
  <si>
    <t>5800-11200</t>
  </si>
  <si>
    <t>2</t>
  </si>
  <si>
    <t>From 2 primary events within 20 ± 2.5 ka.</t>
  </si>
  <si>
    <t>From 2-3 events within 20 ± 2.5 ka. Number of events from comparing the SED in the trench with total scarp heights elsewhere.</t>
  </si>
  <si>
    <t>Davey trench</t>
  </si>
  <si>
    <t>Davey</t>
  </si>
  <si>
    <t>5.9-1.8 ka</t>
  </si>
  <si>
    <t>19.2-13.7 ka</t>
  </si>
  <si>
    <t>Fissuring bracketed between two radiocarbon ages calibrated using SHCal13, 2 sigma uncertainties. Maximum age is from soil in the fissures considered to pre-date the event.</t>
  </si>
  <si>
    <t>Bracketed between radiocarbon age calibrated using SHCal13, 2 sigma uncertainties, and the Taupo Tephra.</t>
  </si>
  <si>
    <t>8100-17500</t>
  </si>
  <si>
    <t>From the inter-event time between the two events.</t>
  </si>
  <si>
    <t>60 ± 15</t>
  </si>
  <si>
    <t>1.5-1.8</t>
  </si>
  <si>
    <t>2.1 (1.1-3.8)</t>
  </si>
  <si>
    <t>8.4 (7.1-10.1)</t>
  </si>
  <si>
    <t>9.8 (7.1-12.8)</t>
  </si>
  <si>
    <t>8.1 (5.7-12.3)</t>
  </si>
  <si>
    <t>4.5 (2.2-7.5)</t>
  </si>
  <si>
    <t>3.9 (2.2-7.0)</t>
  </si>
  <si>
    <t>1.6 (0.2-3.3)</t>
  </si>
  <si>
    <t>7.1 (5.9-8.4)</t>
  </si>
  <si>
    <t>9.5 (8.2-10.9)</t>
  </si>
  <si>
    <t>20.9 (16.8-25.3)</t>
  </si>
  <si>
    <r>
      <t xml:space="preserve">4.7 </t>
    </r>
    <r>
      <rPr>
        <b/>
        <sz val="10"/>
        <color theme="1"/>
        <rFont val="Calibri"/>
        <family val="2"/>
        <scheme val="minor"/>
      </rPr>
      <t>(</t>
    </r>
    <r>
      <rPr>
        <sz val="10"/>
        <color theme="1"/>
        <rFont val="Calibri"/>
        <family val="2"/>
        <scheme val="minor"/>
      </rPr>
      <t>3.1-5.6)</t>
    </r>
  </si>
  <si>
    <t>3.8 (2.6-5.1)</t>
  </si>
  <si>
    <t>8.0 (5.9-10.8)</t>
  </si>
  <si>
    <t>8.9 (6.6-12.3)</t>
  </si>
  <si>
    <t>3.2 (2.2-4.6)</t>
  </si>
  <si>
    <t>&gt;4.3 (3.2-5.6)</t>
  </si>
  <si>
    <t>6.5 (5.0-8.7)</t>
  </si>
  <si>
    <t>1.0 (0.6-1.8)</t>
  </si>
  <si>
    <t>36 (29-45.8)</t>
  </si>
  <si>
    <t>20.2 (13.2-26.7)</t>
  </si>
  <si>
    <t>20.9 (15.6-28.1)</t>
  </si>
  <si>
    <t>12.8 (8.0-19.2)</t>
  </si>
  <si>
    <t>3.9 (3.5-4.4)</t>
  </si>
  <si>
    <t>1.3 (0.9-1.8)</t>
  </si>
  <si>
    <t>8.3 (7.3-9.3)</t>
  </si>
  <si>
    <t>4.5 (2.4-11.8)</t>
  </si>
  <si>
    <t>2.8 (1.8-4.1)</t>
  </si>
  <si>
    <t>4.0 (2.1-8.2)</t>
  </si>
  <si>
    <t>3.9 (2.8-5.3)</t>
  </si>
  <si>
    <t>1.9 (1.9-2.1)</t>
  </si>
  <si>
    <t>Volcaniclastic stratigraphy</t>
  </si>
  <si>
    <t>Offset from 1 event in the trench.</t>
  </si>
  <si>
    <t>Waihou River terraces</t>
  </si>
  <si>
    <t>several</t>
  </si>
  <si>
    <t>River terraces</t>
  </si>
  <si>
    <t>From differences in heights between successive river terraces.</t>
  </si>
  <si>
    <t>Offset from 2 events in the trench.</t>
  </si>
  <si>
    <t>Foster, P.F.; Berryman, K.R. 1991 Maraetai, Waipapa, Arapuni and Karapiro Power Stations : seismotectonic study. DSIR Geology and Geophysics contract report 1991/101</t>
  </si>
  <si>
    <t>Foster and Berryman (1991), Persaud et al. (2016)</t>
  </si>
  <si>
    <t>Red Hill Valley trench</t>
  </si>
  <si>
    <t>SH73 SW side</t>
  </si>
  <si>
    <t>SH73 NE side</t>
  </si>
  <si>
    <t>Cowan, H.A.; Nicol, A.; Tonkin, P. 1996 A comparison of historical and paleoseismicity in a newly formed fault zone and a mature fault zone, North Canterbury, New Zealand. Journal of Geophysical Research. Solid Earth, 101(B3): 6021-6036</t>
  </si>
  <si>
    <t>&lt;7000 14C yr BP</t>
  </si>
  <si>
    <t>9000-7000 14C yr BP</t>
  </si>
  <si>
    <t>Cowan et al. (1996)</t>
  </si>
  <si>
    <t>2500-2000 years BP</t>
  </si>
  <si>
    <t>Maximum radiocarbon age (6900 ± 90 14C yr BP) for faulted paleosol reported in radiocarbon years. Calibrated here using SHCAL20, 2 sigma uncertainties.</t>
  </si>
  <si>
    <t>Bracketing radiocarbon ages (6900 ± 90 and 8900 ± 110 14C yr BP) for faulted paleosols reported in radiocarbon years. Calibrated here using SHCAL20, 2 sigma uncertainties.</t>
  </si>
  <si>
    <t>Peat accumulated behind scarp. From minimum radiocarbon age (1720 ± 60 14C yr BP - calibrated here using SHCAL20, 2 sigma uncertainties) and a sedimentation accumulation rate.</t>
  </si>
  <si>
    <t>Mt Grey</t>
  </si>
  <si>
    <t>2400-2100 14C yr BP</t>
  </si>
  <si>
    <t>&gt;1661 AD</t>
  </si>
  <si>
    <t>Tree in growth position in unfaulted debris flow covering the fault. Calibration method not stated so radiocarbon age (182 ± 60 14C yr BP) recalibrated here using SHCAL20, 2 sigma uncertainties for consistency with older age. Unclear if really two earthquakes in this exposure.</t>
  </si>
  <si>
    <t>Wood from tree inferred to be felled by earthquake is inferred to date the timing of the earthquake. Wood age reported as a radiocarbon age (2330 ± 40 14C yr BP), calibrated here using SHCAL20, 2 sigma uncertainties. Unclear if really two earthquakes in this exposure.</t>
  </si>
  <si>
    <t>Onehunga Station stream exposure</t>
  </si>
  <si>
    <t>&lt;36.5 ± 1.4 ka</t>
  </si>
  <si>
    <t>Minimum OSL age from unfaulted colluvium. Uncertainty range not stated but assume 1 sigma.</t>
  </si>
  <si>
    <t>Maximum OSL age from faulted alluvial fan deposits. Uncertainty range not stated but assume 1 sigma. May be 2, 3, or possibly 4 events between this age and the minimum age for the LE from multiple colluvial wedges.</t>
  </si>
  <si>
    <t>Maximum OSL age from faulted alluvial fan deposits. Uncertainty range not stated but assume 1 sigma. May be more than 1 event between this age and the minimum age for EQ2.</t>
  </si>
  <si>
    <t>Bracketed between two OSL ages from unfaulted and faulted colluvium. Uncertainty range not stated but assume 1 sigma.</t>
  </si>
  <si>
    <t>Maximum OSL age from faulted alluvial fan deposits between colluvial wedges. Uncertainty range not stated but assume 1 sigma.</t>
  </si>
  <si>
    <t>&lt;74 ka</t>
  </si>
  <si>
    <t>&gt;11.4 ± 0.9 ka</t>
  </si>
  <si>
    <t>&gt;29.4 ± 1.9 ka</t>
  </si>
  <si>
    <t>&lt;46.3 ka</t>
  </si>
  <si>
    <t>Maximum OSL age from faulted alluvial fan deposits. Uncertainty range not stated but assume 1 sigma. May be more than 1 event between this age and the minimum age for the LE.</t>
  </si>
  <si>
    <t>&gt;18.3 ka</t>
  </si>
  <si>
    <t>Minimum OSL age from unfaulted alluvial fan deposits. Uncertainty range not stated but assume 1 sigma.</t>
  </si>
  <si>
    <t>Combined Glenledi and Clarendon trenches</t>
  </si>
  <si>
    <t>31.3-18.8 ka</t>
  </si>
  <si>
    <t>37.9-27.5 ka</t>
  </si>
  <si>
    <t>74.1-35.1 ka</t>
  </si>
  <si>
    <t>Minimum age from the Clarendon T16/03 trench and  maximum age from the Clarendon T16/02 trench.</t>
  </si>
  <si>
    <t>Minimum age from the Clarendon T16/02 trench and  maximum age from the Clarendon T16/03 trench.</t>
  </si>
  <si>
    <t>Ages from the Clarendon T16/02 trench. Could be 2 or even 3 events in this time interval.</t>
  </si>
  <si>
    <t>~7000-19000</t>
  </si>
  <si>
    <t>From 2-4 events in 37900-27500 years</t>
  </si>
  <si>
    <t>29.4 ± 1.9 ka - 16.7 ± 0.4</t>
  </si>
  <si>
    <t>2.0 (1.3-2.7)</t>
  </si>
  <si>
    <t>Alluvial fan units in trench</t>
  </si>
  <si>
    <t>No evidence for H so assume is NS.</t>
  </si>
  <si>
    <r>
      <t>From total range of displacement of key units divided by number of events. Converted from V to DS using dip of 57</t>
    </r>
    <r>
      <rPr>
        <sz val="10"/>
        <color theme="1"/>
        <rFont val="Calibri"/>
        <family val="2"/>
      </rPr>
      <t>°</t>
    </r>
    <r>
      <rPr>
        <sz val="10"/>
        <color theme="1"/>
        <rFont val="Calibri"/>
        <family val="2"/>
        <scheme val="minor"/>
      </rPr>
      <t xml:space="preserve"> (40°-73°).</t>
    </r>
  </si>
  <si>
    <t>2.4 (0.6-2.5)</t>
  </si>
  <si>
    <r>
      <t>From total range of displacement of key units divided by number of events. Converted from V to DS using dip of 41-47</t>
    </r>
    <r>
      <rPr>
        <sz val="10"/>
        <color theme="1"/>
        <rFont val="Calibri"/>
        <family val="2"/>
      </rPr>
      <t>°</t>
    </r>
    <r>
      <rPr>
        <sz val="10"/>
        <color theme="1"/>
        <rFont val="Calibri"/>
        <family val="2"/>
        <scheme val="minor"/>
      </rPr>
      <t>.</t>
    </r>
  </si>
  <si>
    <t>&lt;4.0</t>
  </si>
  <si>
    <t>2.6 (2.4-2.7)</t>
  </si>
  <si>
    <t>Range from the smallest maximum and largest minimum estimates. Preferred is the rounded median.</t>
  </si>
  <si>
    <t>21600-13600</t>
  </si>
  <si>
    <t>Bracketed between two OSL ages. 1 sigma uncertainties</t>
  </si>
  <si>
    <t>4.25 ± 0.2</t>
  </si>
  <si>
    <t>5.5 (4.5-7.8)</t>
  </si>
  <si>
    <t>Alluvial fan deposits</t>
  </si>
  <si>
    <t>From the total displacement divided by 2 events. Other SED's were also considered, from scaling relationships, but just that from the trench is compiled here.</t>
  </si>
  <si>
    <t>Sisson, R. J.; Campbell, J.; Pettinga, J.; Milner, D. 2001 Paleoseismicity of the Ashley and Loburn faults, North Canterbury, New Zealand. Wellington: Earthquake Commission Research Foundation. 31 p.</t>
  </si>
  <si>
    <t>Ashley</t>
  </si>
  <si>
    <t>Ashley trench 1</t>
  </si>
  <si>
    <t>Barrell, D.J.A.; Van Dissen, R.J. 2014 Assessment of active fault ground deformation hazards associated with the Ashley Fault Zone, Loburn, North Canterbury. GNS Science consultancy report 2013/173; Environment Canterbury report R14/77. 59 p. + 1 DVD</t>
  </si>
  <si>
    <t>Sisson et al. (2001), Barrell and Van Dissen (2014)</t>
  </si>
  <si>
    <t>Radiocarbon age for peat inferred to have been ponded by the last event. Age recalibrated using SHCAL13 by Barrell and Van Dissen (2014). 2 sigma uncertainties. Sisson et al. infer younger events, but agree with B&amp;VD (2014) that equivocal. Older events are not dated.</t>
  </si>
  <si>
    <t>Barkers Road Channel</t>
  </si>
  <si>
    <t>Fishers Road Channel W</t>
  </si>
  <si>
    <t>Fishers Road Channel E</t>
  </si>
  <si>
    <t>1586 (1396–1764) AD</t>
  </si>
  <si>
    <t>1290 (1207–1361) AD</t>
  </si>
  <si>
    <t>832 (746–922) AD</t>
  </si>
  <si>
    <t>681 (642–722) AD</t>
  </si>
  <si>
    <t>173 (103–224) AD</t>
  </si>
  <si>
    <t>162 (271 – 89) BC</t>
  </si>
  <si>
    <t>400 (495 – 299) BC</t>
  </si>
  <si>
    <t>804 (852 – 852) BC</t>
  </si>
  <si>
    <t>954 (1002 – 911) BC</t>
  </si>
  <si>
    <t>1363 (1454 – 1276) BC</t>
  </si>
  <si>
    <t>1748 (1848 – 1660) BC</t>
  </si>
  <si>
    <t>2133 (2337 – 1946) BC</t>
  </si>
  <si>
    <t>2454 (2539 – 2371) BC</t>
  </si>
  <si>
    <t>2761 (2857 – 2660) BC</t>
  </si>
  <si>
    <t>3094 (3259 – 2963) BC</t>
  </si>
  <si>
    <t>3618 (3679 – 3552) BC</t>
  </si>
  <si>
    <t>3856 (3947 – 3758) BC</t>
  </si>
  <si>
    <t>4141 (4240 – 4062) BC</t>
  </si>
  <si>
    <t>4364 (4336 – 4289) BC</t>
  </si>
  <si>
    <t>4648 (4707 – 4593) BC</t>
  </si>
  <si>
    <t>4939 (5023 – 4865) BC</t>
  </si>
  <si>
    <t>5289 (5485 – 5077) BC</t>
  </si>
  <si>
    <t>5570 (5768 – 5438) BC</t>
  </si>
  <si>
    <t>5852 (5973 – 5670) BC</t>
  </si>
  <si>
    <t>16000 ± 4000 cal. yr BP</t>
  </si>
  <si>
    <t>Inferred from decrease in terrace riser height across the fault. Age inferred.</t>
  </si>
  <si>
    <t>Barrell and Van Dissen (2014)</t>
  </si>
  <si>
    <t>7000-15000</t>
  </si>
  <si>
    <t>From the inter-event time.</t>
  </si>
  <si>
    <r>
      <rPr>
        <sz val="10"/>
        <color theme="1"/>
        <rFont val="Calibri"/>
        <family val="2"/>
      </rPr>
      <t>≥</t>
    </r>
    <r>
      <rPr>
        <sz val="10"/>
        <color theme="1"/>
        <rFont val="Calibri"/>
        <family val="2"/>
        <scheme val="minor"/>
      </rPr>
      <t>4805 ± 505 cal. yr BP</t>
    </r>
  </si>
  <si>
    <t>Hurunui River T5</t>
  </si>
  <si>
    <t>Mt Noble Site 9</t>
  </si>
  <si>
    <t>2.1 ± 0.3</t>
  </si>
  <si>
    <r>
      <rPr>
        <sz val="10"/>
        <color theme="1"/>
        <rFont val="Calibri"/>
        <family val="2"/>
      </rPr>
      <t>≥</t>
    </r>
    <r>
      <rPr>
        <sz val="10"/>
        <color theme="1"/>
        <rFont val="Calibri"/>
        <family val="2"/>
        <scheme val="minor"/>
      </rPr>
      <t>2.1 ± 0.3</t>
    </r>
  </si>
  <si>
    <t>No RL given but fault is noted to be dextral-reverse to assume V is a min.</t>
  </si>
  <si>
    <t>Measured by laser range finder and GPS profiling. One of smallest offsets measured so inferred to be SED.</t>
  </si>
  <si>
    <t>Measurement method not stated but likely to be tape measure. One of smallest offsets measured so inferred to be SED.</t>
  </si>
  <si>
    <t>Waitohi Site 15</t>
  </si>
  <si>
    <t>4.5 ± 0.5</t>
  </si>
  <si>
    <t>V component of 2.7 ± 0.5 m given but appears to be an estimate and method unclear.</t>
  </si>
  <si>
    <t>V component of 5.2 ± 0.9 m given but appears to be an estimate and method unclear.</t>
  </si>
  <si>
    <t>Stream bank</t>
  </si>
  <si>
    <t>No mention of V, but is measured elsewhere so consider is likely a min.</t>
  </si>
  <si>
    <t>Whistling Creek Site 17</t>
  </si>
  <si>
    <t>3.4 ± 1</t>
  </si>
  <si>
    <t>Ridge and stream</t>
  </si>
  <si>
    <t>Gola Peaks Site 19</t>
  </si>
  <si>
    <t>Measured from RTK-GPS map. One of smallest offsets measured so inferred to be SED.</t>
  </si>
  <si>
    <t>Hurunui River T2/T3</t>
  </si>
  <si>
    <t>12.8-9.5 ka</t>
  </si>
  <si>
    <t>Differential offset of two terrace treads suggests and event between the timings of their abandonments. Scarp across lower terrace demonstrates is older than the MRE and they infer to be the penultimate event. Bracketed by 2 OSL ages. Uncertainties not stated but ages from OSL lab report, so almost certainly 1 sigma.</t>
  </si>
  <si>
    <t>Hurunui River T6</t>
  </si>
  <si>
    <t>&lt;6300</t>
  </si>
  <si>
    <t>Maximum age for offset terrace. OSL age. Uncertainties not stated but ages from OSL lab report, so almost certainly 1 sigma.</t>
  </si>
  <si>
    <t>Mt Noble stream exposure</t>
  </si>
  <si>
    <t>6325-717 BP</t>
  </si>
  <si>
    <t>Bracketing charcoal radiocarbon ages from faulted colluvium and modern B horizon. Calibrated using SHCAL04, 2 sigma uncertainties.</t>
  </si>
  <si>
    <t>c. 5612 ± 445</t>
  </si>
  <si>
    <t>2-5</t>
  </si>
  <si>
    <t>Overlap range of calculations using 2-5 events in the period 29.8 ± 2.2 ka.</t>
  </si>
  <si>
    <t>Noble, D.P. 2011 Tectonic geomorphology and paleoseismicity of the Northern Esk Fault, North Canterbury, New Zealand. MSc (Geology) thesis, University of Canterbury.</t>
  </si>
  <si>
    <t>Stonewall T04/1</t>
  </si>
  <si>
    <t>46.0-15.8 ka</t>
  </si>
  <si>
    <t>Bracketed by OSL ages of faulted and unfaulted silt/loess. 1 sigma uncertainties.</t>
  </si>
  <si>
    <t>Stonewall T04/3</t>
  </si>
  <si>
    <t>&gt;14.7 ± 1.3 ka</t>
  </si>
  <si>
    <t>OSL age from unfaulted silt/loess.</t>
  </si>
  <si>
    <t>&lt;700 years BP</t>
  </si>
  <si>
    <t>Smith, G.M. 2003 The coseismicity and morphology of the Acheron rock avalanche deposit in the Red Hill valley, New Zealand. MSc (Engineering Geology) thesis, University of Canterbury. 277 p.</t>
  </si>
  <si>
    <t>Two paleosol radiocarbon ages from paleosols. Calibrated using SHCAL04, 2 sigma uncertainties. Oldest age reported here. Evidence these pre-date the LE are equivocal.</t>
  </si>
  <si>
    <t>Te Whetu trench</t>
  </si>
  <si>
    <t>4716 ± 133 - 523 ± 27 years BP</t>
  </si>
  <si>
    <t>Bracketed by 14C ages calibrated using SHCAL04 and reported with 2 sigma uncertainties.</t>
  </si>
  <si>
    <t>9.5-4.715 kyr BP</t>
  </si>
  <si>
    <t>Bracketed by Rotoma Tephra and 14C age calibrated using SHCAL04 and reported with 2 sigma uncertainties. No uncertainties given for Rotoma T age.</t>
  </si>
  <si>
    <t>Mouslopoulou (2006)</t>
  </si>
  <si>
    <t>13.8-9.5 kyr BP</t>
  </si>
  <si>
    <t>From differential displacement of Waiohau and Rotoma tephras. No uncertainties given for tephra ages.</t>
  </si>
  <si>
    <t>30-13.8 kyr BP</t>
  </si>
  <si>
    <t>From differential displacement of Mangaone Subgroup and Waiohau tephras. No uncertainties given for tephra ages. Could be more than one event in this time.</t>
  </si>
  <si>
    <t>50-30 kyr BP</t>
  </si>
  <si>
    <t>Te Marama trench</t>
  </si>
  <si>
    <t>&lt;794 ± 126 yrs BP</t>
  </si>
  <si>
    <t>Minimum age from charcoal in deformed sandy silt. Calibrated using SHCAL04 and reported with 2 sigma uncertainties.</t>
  </si>
  <si>
    <t>Armyra trench</t>
  </si>
  <si>
    <t>1.8-0.8 kyr BP</t>
  </si>
  <si>
    <t>From differential displacement of Rotoehu and Mangaone Subgroup tephras. No uncertainties given for tephra ages.</t>
  </si>
  <si>
    <t>Bracketed between the faulted Taupo Tephra and unfaulted extrapolated base of the Kaharoa Tephra. No uncertainties given for tephra ages.</t>
  </si>
  <si>
    <t>From differential displacement of Taupo and Waimihia tephras. No uncertainties given for tephra ages. Noted as a possible earthquake.</t>
  </si>
  <si>
    <t>3.5-1.8 kyr BP</t>
  </si>
  <si>
    <t>Thalassa trench</t>
  </si>
  <si>
    <t>1800 - 833 years BP</t>
  </si>
  <si>
    <t>Bracketed between the faulted Taupo Tephra and radiocarbon age from unfaulted paleosol. No uncertainties given for Taupo tephra age. C14 age calibrated using INTCAL98 and reported with 2 sigma uncertainties. Minimum age reported as 0.93 ka by Mouslopoulou et al. (2009).</t>
  </si>
  <si>
    <t>2752 ± 30 - 2000 ± 110 yrs BP</t>
  </si>
  <si>
    <t xml:space="preserve">Bracketed between two radiocarbon ages above and below colluvial wedge. Calibrated using INTCAL98 and reported with 2 sigma uncertainties. </t>
  </si>
  <si>
    <t>8-5.6 kyr BP</t>
  </si>
  <si>
    <t>From differential displacement of Mamaku and Whakatane tephras. No uncertainties given for tephra ages. Possibly occurred soon after deposition of the Mamaku Tephra.</t>
  </si>
  <si>
    <t>9.5-8.5 kyr BP</t>
  </si>
  <si>
    <t>From differential displacement of Rotoma and Mamaku tephras. No uncertainties given for tephra ages.</t>
  </si>
  <si>
    <t>5.6-1.8 kyr BP</t>
  </si>
  <si>
    <t>Bracketed between the faulted Whakatane Tephra and unfaulted Taupo Tephra. No uncertainties given for tephra ages.</t>
  </si>
  <si>
    <t>5.6 kyr BP</t>
  </si>
  <si>
    <t>From differential displacement of Whakatane tephra and reworked Whakatane and Taupo sourced tephras. No uncertainties given for tephra ages. Inferred to have occurred occurred soon after deposition of the Whakatane Tephra.</t>
  </si>
  <si>
    <t>c. 7631 ± 51 cal. yrs BP</t>
  </si>
  <si>
    <t xml:space="preserve">From 3 strands terminating within unit containing reworked Waiohau tephra that is radiocarbon dated. Calibrated using INTCAL98 and reported with 2 sigma uncertainties. </t>
  </si>
  <si>
    <t>&gt;7631 ± 51 cal. yrs BP</t>
  </si>
  <si>
    <t xml:space="preserve">From scarp formed before unit radiocarbon dated. Could be more than 1 event. Calibrated using INTCAL98 and reported with 2 sigma uncertainties. </t>
  </si>
  <si>
    <t>Moana-Iti trench</t>
  </si>
  <si>
    <t>Moana trench</t>
  </si>
  <si>
    <t>3364 ± 38 - 1800 yrs BP</t>
  </si>
  <si>
    <t>Bracketed between displaced unit dated by C14 dating and Taupo tephra. C14 age calibrated using INTCAL98 and reported with 2 sigma uncertainties. No uncertainties given for Taupo T age.</t>
  </si>
  <si>
    <t>Mouslopoulou, V.; Nicol, A.; Little, T.A.; Walsh, J.J. 2007 Terminations of large strike-slip faults : an alternative model from New Zealand. p. 387-415 IN: Cunningham, W.D.; Mann, P. (eds) Tectonics of strike-slip restraining and releasing bends. London: Geological Society of London. Geological Society special publication 290.</t>
  </si>
  <si>
    <t>23080 ± 160 - 3364 ± 38 yr BP</t>
  </si>
  <si>
    <t xml:space="preserve">Bracketed between two radiocarbon ages above and below event horizon. Minimum age calibrated using INTCAL98, older age using SHCAL04, both reported with 2 sigma uncertainties. </t>
  </si>
  <si>
    <t>Ahirau 1 trench</t>
  </si>
  <si>
    <t>2.88-1.8 kyr BP</t>
  </si>
  <si>
    <t xml:space="preserve">Bracketed between two radiocarbon ages above and below event horizon. Calibrated using INTCAL98 and reported with 2 sigma uncertainties. </t>
  </si>
  <si>
    <t>Ahirau 2 trench</t>
  </si>
  <si>
    <t>Maximum age from displaced reworked Whakatane Tephra. Minimum age from Taupo Tephra but unclear if unfaulted. No uncertainties given for tephra ages.</t>
  </si>
  <si>
    <t>13.8-3.5 kyr BP</t>
  </si>
  <si>
    <t>Ages for this event not explicitly given but appears to be bracketed between these tephras.  No uncertainties given for tephra ages. An older event pre-dates reworked Waiohau Tephra.</t>
  </si>
  <si>
    <t>Armyra and Thalassa trenches combined</t>
  </si>
  <si>
    <t>2752 ± 30 - 2000 ± 110 cal. yrs BP</t>
  </si>
  <si>
    <t>1800 - 833 cal. yrs BP</t>
  </si>
  <si>
    <t>c. 8000 cal. yrs BP</t>
  </si>
  <si>
    <t>9500-8000 cal. yrs BP</t>
  </si>
  <si>
    <t>From all trenches</t>
  </si>
  <si>
    <t>From both walls of Thalassa trench</t>
  </si>
  <si>
    <t>From Thalassa trench north wall</t>
  </si>
  <si>
    <t>c. 9.5-2.98 kyr BP</t>
  </si>
  <si>
    <t>&gt;9.5 kyr BP</t>
  </si>
  <si>
    <t xml:space="preserve">From peat deposited in accommodation space against the scarp. Calibrated using INTCAL98 and reported with 2 sigma uncertainties. </t>
  </si>
  <si>
    <t>Arihau 1 and 2 combined</t>
  </si>
  <si>
    <t>Moana and Moana-Iti combined</t>
  </si>
  <si>
    <t>From Moana-Iti</t>
  </si>
  <si>
    <t>From Moana</t>
  </si>
  <si>
    <t>From Moana north wall</t>
  </si>
  <si>
    <t>2500 ± 20</t>
  </si>
  <si>
    <t>Method not explicitly stated, but noted to be calculated from the earthquake ages over the time interval 7.7 ± 0.05 ka</t>
  </si>
  <si>
    <t>Method not explicitly stated, but noted to be calculated from the earthquake ages over the time interval 13.8 ka. No uncertainty reported.</t>
  </si>
  <si>
    <t>Method not explicitly stated, but noted to be calculated from the earthquake ages over the time interval 9.5 ka. Uncertainty not stated.</t>
  </si>
  <si>
    <t>Lower Mikonui River exposure</t>
  </si>
  <si>
    <t>&lt;12.1 ± 1.7</t>
  </si>
  <si>
    <t>18.5 ± 1.3 - 12.1 ± 1.7</t>
  </si>
  <si>
    <t>58.3 ± 3.9 - 18.5 ± 1.3</t>
  </si>
  <si>
    <t>Maximum OSL age from faulted silt. Uncertainty range not stated but assume 1 sigma.</t>
  </si>
  <si>
    <t>From progressive displacement of fluvial units dated by OSL dating. Uncertainty range not stated but assume 1 sigma.</t>
  </si>
  <si>
    <t>De Pascale et al. (2016), Chandler-Yates (2016)</t>
  </si>
  <si>
    <t>c. 20,000</t>
  </si>
  <si>
    <t>From progressive displacement of fluvial units dated by OSL dating. Could be more than 1 event. Uncertainty range not stated but assume 1 sigma.</t>
  </si>
  <si>
    <t>From at least 3 events in the last c. 60,000 years</t>
  </si>
  <si>
    <t>&lt;1.7 ka</t>
  </si>
  <si>
    <t>2.5-1.7 ka</t>
  </si>
  <si>
    <t>3.4-2.5 ka</t>
  </si>
  <si>
    <t>~6.2-3.4 ka</t>
  </si>
  <si>
    <t>11.2-c.6.2 ka</t>
  </si>
  <si>
    <t>13.8-11.2 ka</t>
  </si>
  <si>
    <t>Maximum age from displaced reworked Taupo Tephra. No age uncertainty given.</t>
  </si>
  <si>
    <t>From progressive displacement of Mangatawai and Taupo tephras.</t>
  </si>
  <si>
    <t>From progressive displacement of Papakai and Mangatawai tephras. Top of Papakai Fm correlated to Waimihia Tephra.</t>
  </si>
  <si>
    <t>From progressive displacement of Papakai tephra units. Top and base ages are inferred from corrrelations to Waimihia and Moutere tephras respectively.</t>
  </si>
  <si>
    <t>From progressive displacement of Ohinepango/Pouto and Papakai tephra units. Top and base ages are inferred from corrrelations to Moutere and Karapaiti tephras respectively.</t>
  </si>
  <si>
    <t>From progressive displacement of Pourahau and Ngamatea 2 tephras. Top and base ages are inferred from corrrelations to Karapaiti and Waiohau tephras respectively.</t>
  </si>
  <si>
    <t>Zone 19 trench</t>
  </si>
  <si>
    <t>2.5-1.7 cal. ka</t>
  </si>
  <si>
    <t>3.4-2.5 cal. ka</t>
  </si>
  <si>
    <t>13.8-11.2 cal. ka</t>
  </si>
  <si>
    <t>6.2-5.5 - 5.2 cal. ka</t>
  </si>
  <si>
    <t>From progressive displacement of the orange lapilli and a Papakai unit. Orange lapilli correlated to between Moututere and Whakatane tephras, base of Papakai to Hinemaia tephra.</t>
  </si>
  <si>
    <t>From progressive displacement of the Porahau and Shawcroft tephras. Top and base ages are inferred from corrrelations to Karapaiti and Waiohau tephras respectively.</t>
  </si>
  <si>
    <t>From progressive displacement of the Ngamatea-2 and Ohinepango tephras. Top and base ages are inferred from corrrelations to Karapaiti and Waiohau tephras respectively.</t>
  </si>
  <si>
    <t>Combined Tank track and Zone 19 trenches</t>
  </si>
  <si>
    <t>Tank Track trench event 1.</t>
  </si>
  <si>
    <t>Tank Track trench event 2. Zone 19 trench event 1.</t>
  </si>
  <si>
    <t>Tank Track trench event 3.  Zone 19 trench event 2.</t>
  </si>
  <si>
    <t>Tank Track trench event 4.  Zone 19 trench event 3.</t>
  </si>
  <si>
    <t>&lt;1.7 cal. ka</t>
  </si>
  <si>
    <t>3.43-2.5 cal. ka</t>
  </si>
  <si>
    <t>5.2-3.43 cal. cal. ka</t>
  </si>
  <si>
    <t>11.2-6.2 cal. ka</t>
  </si>
  <si>
    <t>13.48-11.2 cal. ka</t>
  </si>
  <si>
    <t>Tank Track trench event 5.</t>
  </si>
  <si>
    <t>Tank Track trench event 6.  Zone 19 trench event 5.</t>
  </si>
  <si>
    <t>Zone 19 trench event 4.</t>
  </si>
  <si>
    <t>3400-4600</t>
  </si>
  <si>
    <t>From 3-4 events in 14000 years. From interpreted primary fault events on this segment of the Rangipo Fault.</t>
  </si>
  <si>
    <t>0.1-1.2</t>
  </si>
  <si>
    <t>&gt;0.1-0.2</t>
  </si>
  <si>
    <t>Full range of mean displacements measured from 6 events. Some are considered likely secondary.</t>
  </si>
  <si>
    <t>Full range of mean displacements measured from 5 events. Considered a minimum because the site is on a short trace and may not be representative.</t>
  </si>
  <si>
    <t>Villamor, P.; Van Dissen, R.J.; Alloway, B.V.; Palmer, A.; Litchfield, N.J. 2004 The Rangipo (Desert Road) Fault: the most hazardous fault in the Taupo Volcanic Zone? Institute of Geological &amp; Nuclear Sciences client report 2004/34. 58 p. - plus maps</t>
  </si>
  <si>
    <t>Harding 1 trench</t>
  </si>
  <si>
    <t>Harding 2 trench</t>
  </si>
  <si>
    <t>3.4-1.7 cal. ka</t>
  </si>
  <si>
    <t>Villamor et al. (2004)</t>
  </si>
  <si>
    <t>Bracketed between faulted and unfaulted tephra correlated to the Waimihia and Taupo tephras respectively. Ages from Froggatt and Lowe (1990) and uncertainties assumed to be 2 sigma.</t>
  </si>
  <si>
    <t>Inchbonnie channels</t>
  </si>
  <si>
    <t>Can't reproduce values in Norris and Cooper (2001). Net SR calculated from reported values.</t>
  </si>
  <si>
    <t>Alpine Caswell</t>
  </si>
  <si>
    <t>17/0202021</t>
  </si>
  <si>
    <t>Gable End North</t>
  </si>
  <si>
    <t>Himatangi</t>
  </si>
  <si>
    <t>135 ± 20</t>
  </si>
  <si>
    <t>110 ± 10</t>
  </si>
  <si>
    <r>
      <t xml:space="preserve">-90 </t>
    </r>
    <r>
      <rPr>
        <sz val="10"/>
        <color theme="1"/>
        <rFont val="Calibri"/>
        <family val="2"/>
      </rPr>
      <t>± 10</t>
    </r>
  </si>
  <si>
    <t>Martinborough</t>
  </si>
  <si>
    <t>Ostler North</t>
  </si>
  <si>
    <t>Riversdale North</t>
  </si>
  <si>
    <t>Rotohouhou</t>
  </si>
  <si>
    <r>
      <t xml:space="preserve">-90 </t>
    </r>
    <r>
      <rPr>
        <sz val="10"/>
        <color theme="1"/>
        <rFont val="Calibri"/>
        <family val="2"/>
      </rPr>
      <t>± 20</t>
    </r>
  </si>
  <si>
    <t>Waihi West</t>
  </si>
  <si>
    <t>Flaxmore_Waimea_Tahunanui</t>
  </si>
  <si>
    <t>-110 ± 20</t>
  </si>
  <si>
    <t>Whirinaki West</t>
  </si>
  <si>
    <t>Aotea Seismic Lines</t>
  </si>
  <si>
    <r>
      <t xml:space="preserve">&lt;0.6 </t>
    </r>
    <r>
      <rPr>
        <sz val="10"/>
        <color theme="1"/>
        <rFont val="Calibri"/>
        <family val="2"/>
      </rPr>
      <t>± 0.3</t>
    </r>
  </si>
  <si>
    <r>
      <t xml:space="preserve">0.6 </t>
    </r>
    <r>
      <rPr>
        <sz val="10"/>
        <color theme="1"/>
        <rFont val="Calibri"/>
        <family val="2"/>
      </rPr>
      <t>± 0.3</t>
    </r>
  </si>
  <si>
    <t>6-7</t>
  </si>
  <si>
    <t xml:space="preserve">Vertical seperation not slip rate using seismic line. </t>
  </si>
  <si>
    <t xml:space="preserve">Both the C14 dating of sediments from Kaiwharawhara-1 and published dates from Lewis and Mildenhall (1985) and Goff (1997) were used to estimate the age of lower unit as older than 10000 ± 1500 cal. yr BP. Median ± 2 sigma. </t>
  </si>
  <si>
    <t>Barnes et al. (2019)</t>
  </si>
  <si>
    <t>&gt;14.95 (2.9-27)</t>
  </si>
  <si>
    <t>McCallion Terrace</t>
  </si>
  <si>
    <t>Gravels underlying the terrace, two samples from Trench- Sample D from the gravel/clay interface yielded age pf 7420 ± 70 yrs BP, Sample B from within the gravels yielded 6480 ± 70 yr BP. Assume uncallibrated.</t>
  </si>
  <si>
    <t>McCallion (1996)</t>
  </si>
  <si>
    <t>&gt;7.4 (6.2-8.8)</t>
  </si>
  <si>
    <t>Aotea - Evans Bay</t>
  </si>
  <si>
    <t>&lt;0.6 (0.3-1.0)</t>
  </si>
  <si>
    <t>0.6 (0.3-0.9)</t>
  </si>
  <si>
    <t>1.2 (0.05-6)</t>
  </si>
  <si>
    <t>1.4 (0.6-2.4)</t>
  </si>
  <si>
    <t>Combined rate for both Aotea and Evans Bay F</t>
  </si>
  <si>
    <t>Unchanged from 2014 AFM (and consistent with range of data)</t>
  </si>
  <si>
    <t>&lt;1.4 (0.9-1.9)</t>
  </si>
  <si>
    <t>1.5 (0.5-2.5)</t>
  </si>
  <si>
    <t>Unchanged from 2014 AFM. Range encompasses site SR.</t>
  </si>
  <si>
    <t>0.22 (0.11-0.44)</t>
  </si>
  <si>
    <t>Age assigned by correlation with Starborough 1 terrace (see 2, above)</t>
  </si>
  <si>
    <t>2-4
0.1-0.5</t>
  </si>
  <si>
    <t>40
2-5</t>
  </si>
  <si>
    <t>Channels
Terrace surfaces, channels</t>
  </si>
  <si>
    <t>Several</t>
  </si>
  <si>
    <t>Couldn't tell if dip-slip component was reverse or normal. The dip-slip component was taken from at least three different sites, the paper divides the fault into several sections so a SR could be calculated for each of these.</t>
  </si>
  <si>
    <t>Most of these measurements are from Q2a aged terrace surfaces (10-18ka), either direct offset measurements of the surfaces or provide a maximum age for offset from offset channels that incise the surface. Not sure where the 10-18 ka age is from.</t>
  </si>
  <si>
    <t>Combined Zachariasen et al. (2000) study sites</t>
  </si>
  <si>
    <r>
      <t xml:space="preserve">37 </t>
    </r>
    <r>
      <rPr>
        <sz val="10"/>
        <rFont val="Calibri"/>
        <family val="2"/>
      </rPr>
      <t xml:space="preserve">± </t>
    </r>
    <r>
      <rPr>
        <sz val="10"/>
        <rFont val="Calibri"/>
        <family val="2"/>
        <scheme val="minor"/>
      </rPr>
      <t>13</t>
    </r>
  </si>
  <si>
    <t>42 ± 13
&gt;1</t>
  </si>
  <si>
    <t>Unchanged from 2014 AFM, consistent with the low quality minimum vertical rates.</t>
  </si>
  <si>
    <t>2.4 (1.5-3)</t>
  </si>
  <si>
    <t>From oldest terrace riser (T1/T2) Tophouse Road.</t>
  </si>
  <si>
    <t>3 (2-4)</t>
  </si>
  <si>
    <t>2/3 of Clarence Southwest SR, remainder on the Elliott Fault. Consistent with low quality SR sites.</t>
  </si>
  <si>
    <t>1 (0.5-1.5)</t>
  </si>
  <si>
    <t>1/3 of Clarence Southwest SR, remainder on the Clarence Central. Consistent with low quality SR sites.</t>
  </si>
  <si>
    <t>4.3 (3.5-5)</t>
  </si>
  <si>
    <t>Unchanged from 2014 AFM except for rounding to 1 DP.</t>
  </si>
  <si>
    <t>0.35 (0.2-0.77)</t>
  </si>
  <si>
    <t>0.5 (0.2-1.5)</t>
  </si>
  <si>
    <t>From V SR at Devonshire fan site. Net SR recalculated using CFM dip.</t>
  </si>
  <si>
    <t>2.6 (1.2-4)</t>
  </si>
  <si>
    <t>Esk North</t>
  </si>
  <si>
    <t>Pancake</t>
  </si>
  <si>
    <t>0.5 (0.35-0.65)</t>
  </si>
  <si>
    <t>SR changed using preferred age range rather than maximum age range.</t>
  </si>
  <si>
    <t>0.9 (0.44-1.8)</t>
  </si>
  <si>
    <t>0.9 (0.1-1.8)</t>
  </si>
  <si>
    <t>Marine terrace</t>
  </si>
  <si>
    <t>Inferred age of around 340 ka, OI stage 9. No uncertainties given.</t>
  </si>
  <si>
    <t>c. 340</t>
  </si>
  <si>
    <t>0.35 (0.3-0.4)</t>
  </si>
  <si>
    <t>Saul, G. 1994 The basin development and deformation associated with the Kongahu (Lower Buller) fault zone over the last 12 Ma, Mokihinui River, West Coast, South Island, New Zealand. Journal of the Royal Society of New Zealand, 24(3): 277-288</t>
  </si>
  <si>
    <t>Offset stratigraphy/
Geologic</t>
  </si>
  <si>
    <t xml:space="preserve">Fault is a single strand here. Calculated vertical SR using 5.2m offset and inferred uncertainity of 0.5 m and used full range of inferred ages  and inferred average of 14 ka. Dips SR calculated CFM and inferred to be net SR, which is a minimum because no SS SR. </t>
  </si>
  <si>
    <t>≥0.3-0.7</t>
  </si>
  <si>
    <t>0.3-0.7</t>
  </si>
  <si>
    <t>&gt;0.3-0.7</t>
  </si>
  <si>
    <t xml:space="preserve">Only vertical slip was derived. But noted that it may be assumed that this fault has a similar structural role to Carterton Fault and therefore may have a several mm/yr lateral motion, that is unrecorded due to urbanisation. </t>
  </si>
  <si>
    <t>Age of Q2a terrace used.</t>
  </si>
  <si>
    <t>Combined Zachariasen et al. (2000) sites</t>
  </si>
  <si>
    <t>130-170</t>
  </si>
  <si>
    <t>2 (1-3)</t>
  </si>
  <si>
    <t>&gt;1-2
&gt;0.06</t>
  </si>
  <si>
    <t>1-2
0.06</t>
  </si>
  <si>
    <t xml:space="preserve">From table 1, thisis confusing as the authors say this for south of Porirua and then say this for the whole of Ohariu Fault. </t>
  </si>
  <si>
    <t>Combined Papatea</t>
  </si>
  <si>
    <t>Combined SR estimate from two terraces. This SR would explain the lack of preservation of Holocene-age scarps as well as still explaining the offset terraces.</t>
  </si>
  <si>
    <t>Embargoed until 20th August 2021. Components of SR are from Andy's head and he will have to check them at a later stage. Multiple strands in area. SR/Dip SR calculated using CFM Dips and added RL and V uncertainities of ± 0.5 and ± 0.2 respectively. Net SR calculated using CFM dip.</t>
  </si>
  <si>
    <t>Embargoed until 20th August 2021. Components of SR are from Andy's head and he will have to check them at a later stage. Multiple strands in area. SR/Dip SR calculated using CFM Dips and added V uncertainity of ± 0.1. Net SR calculated using CFM dip.</t>
  </si>
  <si>
    <t>Embargoed until 20th August 2021. Will be sum of two above</t>
  </si>
  <si>
    <t xml:space="preserve">Embargoed until 20th August 2021. Components of SR are from Andy's head and he will have to check them at a later stage. SR/Dip SR calculated using CFM Dips and added V uncertainities of ± 0.1. Net SR calculated using CFM dip </t>
  </si>
  <si>
    <t>Terrace surface / Scarp height</t>
  </si>
  <si>
    <t>Terrace surface / scarp height</t>
  </si>
  <si>
    <t>Clinton T4</t>
  </si>
  <si>
    <t>2.2 ± 1.3
2.1 ± 0.5</t>
  </si>
  <si>
    <t>4.1 (2.3-6.6)</t>
  </si>
  <si>
    <t>3.3 ± 1
3.2</t>
  </si>
  <si>
    <t>Riser
Terrace</t>
  </si>
  <si>
    <t>1.52 ± 0.3</t>
  </si>
  <si>
    <t>See page 35. Measured 4.5 ± 1 Rl offset but used 37 degree dip to work out the lateral separtion of the riser due to thrusting. Calculated Dip SR using CFM dip. Caluclate Net slip using caluclated Dip SR and reported SS SR.</t>
  </si>
  <si>
    <t>Weathering rind</t>
  </si>
  <si>
    <t>OSL / C14 / Tephrochronology</t>
  </si>
  <si>
    <t>Combined Kulnine and Winterholme</t>
  </si>
  <si>
    <t>Van Dissen et al. (2016)</t>
  </si>
  <si>
    <t>10.1 (7.6-12.7)</t>
  </si>
  <si>
    <t>&gt;8.3</t>
  </si>
  <si>
    <t xml:space="preserve">Terrace riser </t>
  </si>
  <si>
    <t>12.4 ± 300</t>
  </si>
  <si>
    <t>The date was from a terrace tread near Cross Creek from Little et al. (2009), which was said to postdate 12.4 ka and predate 5.44 ± 140 cal. yr BP.</t>
  </si>
  <si>
    <t>Waiohine Surface Channels</t>
  </si>
  <si>
    <t>11.0 ± 0.5
1.75 ± 0.2</t>
  </si>
  <si>
    <t>9.6 ± 0.4
1.5 ± 0.15</t>
  </si>
  <si>
    <t>12.3 ± 0.5
2.0 ± 0.2</t>
  </si>
  <si>
    <t>11.2 (10.6-11.7)</t>
  </si>
  <si>
    <t>125 ± 5
20 ± 2</t>
  </si>
  <si>
    <t>Channels, surface</t>
  </si>
  <si>
    <t>4
1</t>
  </si>
  <si>
    <t>10.0 ± 0.8 - 13 ± 0.9</t>
  </si>
  <si>
    <t>The offset may have been recorded by earlier papers. Dips SR and Net SR calculated using CFM dip and reported average Vert and RL SR.</t>
  </si>
  <si>
    <t>Three OSL samples , two from upthrown side one thrown downthrown. Assume they used min and max values to calculate min/max SR.</t>
  </si>
  <si>
    <t>Tauwharenikau River NE</t>
  </si>
  <si>
    <t>0.68 ± 0.06</t>
  </si>
  <si>
    <t>&gt;0.7 (0.6-0.9)</t>
  </si>
  <si>
    <t>11 ± 1</t>
  </si>
  <si>
    <t>16.1 ± 1.6</t>
  </si>
  <si>
    <t>Only vertical offset preseved at both sides of river. Calculated Dips SR. Assume Net SR is greater than calculated Dip SR.</t>
  </si>
  <si>
    <t>Age is sample Tw-2</t>
  </si>
  <si>
    <t>Tauwharenikau River SW</t>
  </si>
  <si>
    <t>0.75 ± 0.07</t>
  </si>
  <si>
    <t>&gt;0.8 (0.7-0.9)</t>
  </si>
  <si>
    <t>14.7 ± 0.8</t>
  </si>
  <si>
    <t>Age is sample Tw-3</t>
  </si>
  <si>
    <t>0.72 ± 0.06</t>
  </si>
  <si>
    <t>Ave. of above 2</t>
  </si>
  <si>
    <t>Pigeon Bush</t>
  </si>
  <si>
    <t>0.6 ± 0.05</t>
  </si>
  <si>
    <t>&gt;0.6 (0.6-0.8)</t>
  </si>
  <si>
    <t>10.9 ± 1.4</t>
  </si>
  <si>
    <t>Age is Sample PB-3</t>
  </si>
  <si>
    <t>Combined Waiohine River/Cross Creek</t>
  </si>
  <si>
    <t>Combined Tauwharenikau River Average</t>
  </si>
  <si>
    <t>11.4 (10-17.5)</t>
  </si>
  <si>
    <t>5.9-6.5</t>
  </si>
  <si>
    <t>29.5 ± 2.5
2.7 ± 0.7</t>
  </si>
  <si>
    <t>Used a DTM which has a uncertainty of 25 % of the scarp height and ~ 0.2 m for DTM scale to measure vertical offset. Measured min/max are assumed to be 2 standard deviations. Reported SR is using comboined channels on both terraces? Calculated dips SR using CFM dip. Calculated net SR using calculated dips SR and SS SR.</t>
  </si>
  <si>
    <t>Three OSL samples were taken used to constrain the ages of the channels. Sample B2O-4 from Barton 2 dated Unit 7, giving age of ~28 ka. Channel sediments were dated B3O-1 and B2O-1 as 18 and 14 ka respectively. The authors took the minimum and max range of these three samples. We are only using the youngest age.</t>
  </si>
  <si>
    <t>Used a DTM which has a uncertainty of 25 % of the scarp height and ~ 0.2 m for DTM scale to measure vertical offset. Measured min/max are assumed to be 2 standard deviations. Reported SR is for all the channels on both terraces?. Calculated dips SR using CFM dip. Calculated net SR using calculated dips SR and SS SR.</t>
  </si>
  <si>
    <t>Ramsley Surface</t>
  </si>
  <si>
    <t xml:space="preserve"> </t>
  </si>
  <si>
    <t>12.4 ± 0.12
0.2 ± 0.03</t>
  </si>
  <si>
    <t>12.4 (12.3-12.5)</t>
  </si>
  <si>
    <t>385 ± 4
7 ± 0.8</t>
  </si>
  <si>
    <t>ca. 31</t>
  </si>
  <si>
    <t>Calculated Dip SR and Net SR using CFM dip and reported RL SR. Offsets may have been recorded by Grapes and Wellman (1988).</t>
  </si>
  <si>
    <t>Extrapolated age of ca. 31 from loess date (14.8 ± 1.1 ka) - reported as Bt-1 but is actually Bt-2) which is from ~ 2 m above the surface of the gravel.</t>
  </si>
  <si>
    <t>Waiohine Surface Waingawa</t>
  </si>
  <si>
    <t>11.7 ± 0.5
0.09 ± 0.02</t>
  </si>
  <si>
    <t>11.7 (11.2-12.2)</t>
  </si>
  <si>
    <t>ca. 124 ± 5
1.0 ± 0.2</t>
  </si>
  <si>
    <t>10.6 ± 0.9</t>
  </si>
  <si>
    <t xml:space="preserve">Assume OSL age (Bt-1)  from youngest Ohakean loess in Wairarapa Valley is equivalent to the Waiohine surface in the area. </t>
  </si>
  <si>
    <t>3.1 (2.9-3.4)</t>
  </si>
  <si>
    <r>
      <rPr>
        <sz val="10"/>
        <color theme="1"/>
        <rFont val="Calibri"/>
        <family val="2"/>
      </rPr>
      <t>≥</t>
    </r>
    <r>
      <rPr>
        <sz val="10"/>
        <color theme="1"/>
        <rFont val="Calibri"/>
        <family val="2"/>
        <scheme val="minor"/>
      </rPr>
      <t>2.3 (2.0-2.6)</t>
    </r>
  </si>
  <si>
    <r>
      <rPr>
        <sz val="10"/>
        <color theme="1"/>
        <rFont val="Calibri"/>
        <family val="2"/>
      </rPr>
      <t>≥</t>
    </r>
    <r>
      <rPr>
        <sz val="10"/>
        <color theme="1"/>
        <rFont val="Calibri"/>
        <family val="2"/>
        <scheme val="minor"/>
      </rPr>
      <t>5.3 (4.7-6.0)</t>
    </r>
  </si>
  <si>
    <t>Grapes, R.H.; Wellman, H.W. 1988 The Wairarapa Fault. Wellington: Victoria University of Wellington. Geology Board of Studies publication 4. 55 p.</t>
  </si>
  <si>
    <t>Combined Bennett/Hughes-1/Ebbett-1</t>
  </si>
  <si>
    <t>5.1-6.2</t>
  </si>
  <si>
    <t>5.65 (5.1-6.2)</t>
  </si>
  <si>
    <t>Use the  Bennett and Hughes 1 slip rates (minimum and maximums to constrain and give a SR. And then state that the upper range of Ebbett 1 overlaps with this SR and that the lower offset that was used at that site may have recorded fewer events. No vertical SR recorded, assume dextral SR equals net SR.</t>
  </si>
  <si>
    <t>2 sigma</t>
  </si>
  <si>
    <r>
      <rPr>
        <sz val="10"/>
        <color theme="1"/>
        <rFont val="Calibri"/>
        <family val="2"/>
      </rPr>
      <t>≥</t>
    </r>
    <r>
      <rPr>
        <sz val="10"/>
        <color theme="1"/>
        <rFont val="Calibri"/>
        <family val="2"/>
        <scheme val="minor"/>
      </rPr>
      <t>0.21</t>
    </r>
  </si>
  <si>
    <t>1-1.8</t>
  </si>
  <si>
    <t>12.2-18.2
0.1-1.1</t>
  </si>
  <si>
    <t>10-12</t>
  </si>
  <si>
    <t>assigned a 10-12 ka (Holocene) age range by RobL</t>
  </si>
  <si>
    <t>Carswell</t>
  </si>
  <si>
    <t>0.5-1</t>
  </si>
  <si>
    <t>5.6-9.6</t>
  </si>
  <si>
    <t>Alfredton South</t>
  </si>
  <si>
    <t>Bartons</t>
  </si>
  <si>
    <t>1.7-2.5</t>
  </si>
  <si>
    <t>20-25
0.6-2.6</t>
  </si>
  <si>
    <t>Domain</t>
  </si>
  <si>
    <t>0.2-0.44</t>
  </si>
  <si>
    <r>
      <rPr>
        <sz val="10"/>
        <rFont val="Calibri"/>
        <family val="2"/>
      </rPr>
      <t>&gt;</t>
    </r>
    <r>
      <rPr>
        <sz val="10"/>
        <rFont val="Calibri"/>
        <family val="2"/>
        <scheme val="minor"/>
      </rPr>
      <t>0.3 (0.2-0.5)</t>
    </r>
  </si>
  <si>
    <t>8-12</t>
  </si>
  <si>
    <t>Beanland suggests 8-12 ka range</t>
  </si>
  <si>
    <t>Alfredton North</t>
  </si>
  <si>
    <t>Moroa</t>
  </si>
  <si>
    <t>2.8-4.3</t>
  </si>
  <si>
    <t>33-43
0.8-2.8</t>
  </si>
  <si>
    <t>stream</t>
  </si>
  <si>
    <t>Tiraumea</t>
  </si>
  <si>
    <t>1.5-2.6</t>
  </si>
  <si>
    <t>18-26
1-2</t>
  </si>
  <si>
    <t>terrace riser</t>
  </si>
  <si>
    <t>Pori</t>
  </si>
  <si>
    <t>1-2.3</t>
  </si>
  <si>
    <t>13-23
0.5-2.5</t>
  </si>
  <si>
    <t>riser</t>
  </si>
  <si>
    <t>Nikatea</t>
  </si>
  <si>
    <t>1.9-3.3</t>
  </si>
  <si>
    <t>23-33</t>
  </si>
  <si>
    <t>Waitawhiti</t>
  </si>
  <si>
    <t>2-6
0.5-1.5</t>
  </si>
  <si>
    <t>Weber</t>
  </si>
  <si>
    <t>Pongaroa - Weber</t>
  </si>
  <si>
    <t>1-1.5</t>
  </si>
  <si>
    <t>11-15
0.5-1.5</t>
  </si>
  <si>
    <t>channels</t>
  </si>
  <si>
    <t>Mangatoro</t>
  </si>
  <si>
    <t>Waipukurau - Poukawa</t>
  </si>
  <si>
    <t>285 ± 8</t>
  </si>
  <si>
    <t>Glen Tui</t>
  </si>
  <si>
    <t>0.9-1.5</t>
  </si>
  <si>
    <t>11-15
2-4</t>
  </si>
  <si>
    <t>Mangahei</t>
  </si>
  <si>
    <t>0.3-0.8</t>
  </si>
  <si>
    <t>&gt;0.9 (0.4-1.6)</t>
  </si>
  <si>
    <t>4-8</t>
  </si>
  <si>
    <t>0.25-0.7</t>
  </si>
  <si>
    <t>&gt;0.5 (0.3-0.8)</t>
  </si>
  <si>
    <t>Kohinui</t>
  </si>
  <si>
    <t>Beanland states that it is a dominantly dextral trace (but no value). Vert SR only, so Dip SR calculated from CFM dip and considered to be a minimum net SR.</t>
  </si>
  <si>
    <t>Beanland (1995); Berryman and Cowan (1993)</t>
  </si>
  <si>
    <t>Maunga Road</t>
  </si>
  <si>
    <t>Maunga</t>
  </si>
  <si>
    <t>Tiratu</t>
  </si>
  <si>
    <t>2-6</t>
  </si>
  <si>
    <t>Milverton</t>
  </si>
  <si>
    <t>0.1-0.5</t>
  </si>
  <si>
    <t>1-5</t>
  </si>
  <si>
    <t>Oruawharo</t>
  </si>
  <si>
    <t>Pukeawa 1</t>
  </si>
  <si>
    <t>0.8-2</t>
  </si>
  <si>
    <t>10-20
1-5</t>
  </si>
  <si>
    <t>Mangapurakau</t>
  </si>
  <si>
    <t>Pukeawa 2</t>
  </si>
  <si>
    <t>fault exposure</t>
  </si>
  <si>
    <t>Mangaoranga</t>
  </si>
  <si>
    <t>1.8-3.2</t>
  </si>
  <si>
    <t>22-32
0.5-2.5</t>
  </si>
  <si>
    <t>Pleckville</t>
  </si>
  <si>
    <t>Mt Baker</t>
  </si>
  <si>
    <t>0.4-1.25</t>
  </si>
  <si>
    <t>0.5-1.4</t>
  </si>
  <si>
    <t>4.5-12.5
3-7</t>
  </si>
  <si>
    <t>Pa Valley</t>
  </si>
  <si>
    <t>Baker</t>
  </si>
  <si>
    <t>1.1-2.3</t>
  </si>
  <si>
    <t>13-23
0.5-1.5</t>
  </si>
  <si>
    <t>4-10
1-5</t>
  </si>
  <si>
    <t>Makuri-Waewaepa</t>
  </si>
  <si>
    <t>Quarry</t>
  </si>
  <si>
    <t>2.1-3.5</t>
  </si>
  <si>
    <t>25-35
6-14</t>
  </si>
  <si>
    <t>stream at graben location</t>
  </si>
  <si>
    <t>Quarry South</t>
  </si>
  <si>
    <t>18
7.7</t>
  </si>
  <si>
    <t>Coonoor</t>
  </si>
  <si>
    <t>uphill-facing scarp</t>
  </si>
  <si>
    <t>Glentromie</t>
  </si>
  <si>
    <t>&gt;1 (0.5-1.6)</t>
  </si>
  <si>
    <t>6-14</t>
  </si>
  <si>
    <t>scarp height</t>
  </si>
  <si>
    <t>Waikopiro</t>
  </si>
  <si>
    <t>Clear Hills - Waikopiro</t>
  </si>
  <si>
    <t>Rangitoto</t>
  </si>
  <si>
    <t>0.05-0.15</t>
  </si>
  <si>
    <t>&gt;0.1 (0.05-0.17)</t>
  </si>
  <si>
    <t>0.5-1.5</t>
  </si>
  <si>
    <t>ponded scarp</t>
  </si>
  <si>
    <t>Ruataniwha</t>
  </si>
  <si>
    <t>Whenuahou</t>
  </si>
  <si>
    <t>Waipukurau</t>
  </si>
  <si>
    <t>Ngahape</t>
  </si>
  <si>
    <t>Flemington</t>
  </si>
  <si>
    <t>1
1-3</t>
  </si>
  <si>
    <t>Rotorunga</t>
  </si>
  <si>
    <t>0.4-1.5</t>
  </si>
  <si>
    <t>5-15</t>
  </si>
  <si>
    <t>if surfaces are in fact older</t>
  </si>
  <si>
    <t>Longleat</t>
  </si>
  <si>
    <t>0.17-0.8</t>
  </si>
  <si>
    <t>2-8
0.5-1.5</t>
  </si>
  <si>
    <t>10-12 ka may underestimate surface age</t>
  </si>
  <si>
    <t>Brooklyn</t>
  </si>
  <si>
    <t>0.13-0.26</t>
  </si>
  <si>
    <t>1.6-2.6</t>
  </si>
  <si>
    <t>fold scarp</t>
  </si>
  <si>
    <t>Hospital</t>
  </si>
  <si>
    <t>scarp (trench)</t>
  </si>
  <si>
    <t>20-30 ka surface age used here</t>
  </si>
  <si>
    <t>Mt Herbert</t>
  </si>
  <si>
    <t>5-15
1-3</t>
  </si>
  <si>
    <t>Weatherly</t>
  </si>
  <si>
    <t>8-16</t>
  </si>
  <si>
    <t xml:space="preserve">plunging fold scarp </t>
  </si>
  <si>
    <t>Tavistock</t>
  </si>
  <si>
    <t>0.2-0.4</t>
  </si>
  <si>
    <t>Poukawa</t>
  </si>
  <si>
    <t>Lake Poukawa</t>
  </si>
  <si>
    <t>0.3-0.37</t>
  </si>
  <si>
    <t>2-2.3</t>
  </si>
  <si>
    <t>6.2-6.6</t>
  </si>
  <si>
    <t>C14
Tephra</t>
  </si>
  <si>
    <t>31.4 (27.9-33.5)</t>
  </si>
  <si>
    <t>27.2 (24.2-29)</t>
  </si>
  <si>
    <t>0.7 (0.3-1.2)</t>
  </si>
  <si>
    <t>0.55 (0.18-0.9)</t>
  </si>
  <si>
    <t>Minimum from KSHM. Maximum from Noble (2011). Preferred is midpoint.</t>
  </si>
  <si>
    <t>6 (4-8)</t>
  </si>
  <si>
    <t>From Pakarae RM uplift rate and maximum from Puatai Beach preferred DS rate.</t>
  </si>
  <si>
    <t>0.2 (0.15-0.27)</t>
  </si>
  <si>
    <t>0.8 (0.6-1)</t>
  </si>
  <si>
    <t>From Townsend et al. (2010) converted to net SR. Rounded to 1 DP.</t>
  </si>
  <si>
    <t>0.35 (0.25-0.5)</t>
  </si>
  <si>
    <t>From Ghisetti CFM compilation 2021.</t>
  </si>
  <si>
    <t>From Barnes CFM compilation 2021</t>
  </si>
  <si>
    <t>From Barrell CFM compilation 2020</t>
  </si>
  <si>
    <t>From Barrell CFM compilation 2020. Consistent with range of site SRs.</t>
  </si>
  <si>
    <t>From Barrell CFM compilation 2020 and consistent with available site SR data</t>
  </si>
  <si>
    <t>From Barrell and Stahl CFM compilation 2020</t>
  </si>
  <si>
    <t>0.3 (0.2-0.4)</t>
  </si>
  <si>
    <t>From range of Hull (1994, 1996) values.</t>
  </si>
  <si>
    <t>0.79 (0.61-1.18)</t>
  </si>
  <si>
    <t>From Barrell CFM compilation 2021 and consistent with Amos values</t>
  </si>
  <si>
    <t>20 (18-22)</t>
  </si>
  <si>
    <t>6.4 (4.4-8.4)</t>
  </si>
  <si>
    <t>Unchanged from 2014 AFM except rounded to 1 DP</t>
  </si>
  <si>
    <t>Ruahine</t>
  </si>
  <si>
    <t>1.1 ± 0.4</t>
  </si>
  <si>
    <t>Mangleton</t>
  </si>
  <si>
    <t>0.7-1.2</t>
  </si>
  <si>
    <t>Desolation</t>
  </si>
  <si>
    <t>0.7-2.5</t>
  </si>
  <si>
    <t>10-30</t>
  </si>
  <si>
    <t>12-15</t>
  </si>
  <si>
    <t>assigned a 12-15 ka age range by RobL; slightly longer than 10-12 ka?</t>
  </si>
  <si>
    <t>Herricks</t>
  </si>
  <si>
    <t>1.0-2.9</t>
  </si>
  <si>
    <t>15-35</t>
  </si>
  <si>
    <t>Guessed age of riser is 12-15 ka (offset seems larger than others)</t>
  </si>
  <si>
    <t>Ripia</t>
  </si>
  <si>
    <t>12-20</t>
  </si>
  <si>
    <t>age based on Q2a terrace and presence of Kk Tephra; 12-20 ka from Beanland (1995)</t>
  </si>
  <si>
    <t>Davis</t>
  </si>
  <si>
    <t>0.7-1.0</t>
  </si>
  <si>
    <t>streams</t>
  </si>
  <si>
    <t>age based on Karapiti Tephra in trench</t>
  </si>
  <si>
    <t>Hanson (1998)</t>
  </si>
  <si>
    <t>Oteakau</t>
  </si>
  <si>
    <t>0.8-1.7</t>
  </si>
  <si>
    <t>8-10
4-6</t>
  </si>
  <si>
    <t>fan</t>
  </si>
  <si>
    <t>6-10</t>
  </si>
  <si>
    <t>fan assumed to be mid Holocene; assigned age of 6-10 ka by RobL</t>
  </si>
  <si>
    <t>Gorge Stream</t>
  </si>
  <si>
    <t>0.7-1.5</t>
  </si>
  <si>
    <t>8-12
0.5-1.5</t>
  </si>
  <si>
    <t>offset terrace assumed to be Q2a; but older than Wm Tephra; 8-12 ka assigned by Beanland</t>
  </si>
  <si>
    <t>Makahu</t>
  </si>
  <si>
    <t>2.0-3.0</t>
  </si>
  <si>
    <t>assigned a 20-30 ka (Holocene) age range by RobL = dodgy</t>
  </si>
  <si>
    <t>Patoka</t>
  </si>
  <si>
    <t>Patoka - Rangiora</t>
  </si>
  <si>
    <t>2.1-5</t>
  </si>
  <si>
    <t>10-16</t>
  </si>
  <si>
    <t>3.21-4.83</t>
  </si>
  <si>
    <t>Radiocarbon; Tephra</t>
  </si>
  <si>
    <t>Waikari River</t>
  </si>
  <si>
    <t>15</t>
  </si>
  <si>
    <t>terrace risers</t>
  </si>
  <si>
    <t>3.3</t>
  </si>
  <si>
    <t>Mohaka</t>
  </si>
  <si>
    <t>Ballantrae</t>
  </si>
  <si>
    <t>12, 19</t>
  </si>
  <si>
    <t>12-18</t>
  </si>
  <si>
    <t>dip-slip rate only; the strike-slip rate is not known from this site</t>
  </si>
  <si>
    <t>18 ka age comes from assumption of age of Oh1 terrace. Dates on Oh2 are more reliable</t>
  </si>
  <si>
    <t>4.6-5.3</t>
  </si>
  <si>
    <t>4.2-4.5</t>
  </si>
  <si>
    <t>26.5</t>
  </si>
  <si>
    <t>5.9-6.3</t>
  </si>
  <si>
    <t>slip rate reinterpreted by Rob L; based on one single channel offset for this age; rather than two channels</t>
  </si>
  <si>
    <t>good dates, but a lot of uncertainity regarding the offset features</t>
  </si>
  <si>
    <t>3.8-6.6</t>
  </si>
  <si>
    <t>75-105</t>
  </si>
  <si>
    <t>shutter ridge</t>
  </si>
  <si>
    <t>16-20</t>
  </si>
  <si>
    <t>offset reported by Beanland pre-dates Hanson (1998); size of offset suggests pre-Holocene?</t>
  </si>
  <si>
    <t>18 ± 2 ka age is an assumption</t>
  </si>
  <si>
    <t>Coppermine</t>
  </si>
  <si>
    <t>1.7-3</t>
  </si>
  <si>
    <t>stream, shutter ridge</t>
  </si>
  <si>
    <t>Mohaka F is complex in this area so SR may be partitioned /higher here</t>
  </si>
  <si>
    <t>assumes this is a stream formed in the Holocene</t>
  </si>
  <si>
    <t>Trotter</t>
  </si>
  <si>
    <t>3.2-4.2</t>
  </si>
  <si>
    <t>38-42</t>
  </si>
  <si>
    <t>risers across graben</t>
  </si>
  <si>
    <t>slip rate reviewed upward from estimate in Litchfield et al. (2011), based on lowering the age range</t>
  </si>
  <si>
    <t>assigned a 10-12 ka (Holocene) age range to the Oh-riser by RobL</t>
  </si>
  <si>
    <t>Litchfield et al. (2011)</t>
  </si>
  <si>
    <t>Mangapukakakahu</t>
  </si>
  <si>
    <t>2.9-6.8</t>
  </si>
  <si>
    <t>130-170
5-15</t>
  </si>
  <si>
    <t>25-45</t>
  </si>
  <si>
    <t>slip rate from Beanland (1995); lower in Litchfield et al. (2011)</t>
  </si>
  <si>
    <t>age of risers or terrace beneath them is poorly characterised</t>
  </si>
  <si>
    <t>Baker Road</t>
  </si>
  <si>
    <t>2.9-7.5</t>
  </si>
  <si>
    <t>70-90</t>
  </si>
  <si>
    <t>Kawakawa Tephra occurs on Q3. Q1-Q4 terraces well-established</t>
  </si>
  <si>
    <t>Rokaiwhana</t>
  </si>
  <si>
    <t>1.9-3.7</t>
  </si>
  <si>
    <t>23-37</t>
  </si>
  <si>
    <t>Waipawa</t>
  </si>
  <si>
    <t>2.6-3.5</t>
  </si>
  <si>
    <t>31.2-35.2</t>
  </si>
  <si>
    <t>Raub (1985); Beanland (1995)</t>
  </si>
  <si>
    <t>Khyber</t>
  </si>
  <si>
    <t>1.7-4.0</t>
  </si>
  <si>
    <t>20-40</t>
  </si>
  <si>
    <t>Makaroro N</t>
  </si>
  <si>
    <t>2.5-4</t>
  </si>
  <si>
    <t>stream at shutter ridge</t>
  </si>
  <si>
    <t>Makaroro S</t>
  </si>
  <si>
    <t>Rangimaire</t>
  </si>
  <si>
    <t>2.25-3.7</t>
  </si>
  <si>
    <t>2.3-3.7</t>
  </si>
  <si>
    <t>27-37</t>
  </si>
  <si>
    <t>Alder</t>
  </si>
  <si>
    <t>2.5-3.8</t>
  </si>
  <si>
    <t>30-38</t>
  </si>
  <si>
    <t>Mangataura</t>
  </si>
  <si>
    <t>1.1-1.7</t>
  </si>
  <si>
    <t>13-17</t>
  </si>
  <si>
    <t>Makaretu</t>
  </si>
  <si>
    <t>Folgers</t>
  </si>
  <si>
    <t>90-110</t>
  </si>
  <si>
    <t>Beanland suggests this is a Ratan riser assoc. w/ Ohakean terrace but calls it 30-40 ka?</t>
  </si>
  <si>
    <t>Pukenui 2</t>
  </si>
  <si>
    <t>9-17</t>
  </si>
  <si>
    <t>Sherwood</t>
  </si>
  <si>
    <t>3.33-4</t>
  </si>
  <si>
    <t>Moorcock</t>
  </si>
  <si>
    <t>0.6-4</t>
  </si>
  <si>
    <t>2-8
1-3</t>
  </si>
  <si>
    <t>2-3.5</t>
  </si>
  <si>
    <t>Pukehiwi</t>
  </si>
  <si>
    <t>1.25-3.5</t>
  </si>
  <si>
    <t>Nelson</t>
  </si>
  <si>
    <t>1.8-5.4</t>
  </si>
  <si>
    <t>35-65</t>
  </si>
  <si>
    <t>landform assigned an age of 12-20 ka age range by RobL</t>
  </si>
  <si>
    <t>Thorn</t>
  </si>
  <si>
    <t>Gull</t>
  </si>
  <si>
    <t>0.13-0.58</t>
  </si>
  <si>
    <t>Mt Mary</t>
  </si>
  <si>
    <t>Ngaruroro</t>
  </si>
  <si>
    <t>3.1-3.6</t>
  </si>
  <si>
    <t>40-43</t>
  </si>
  <si>
    <t>12-13</t>
  </si>
  <si>
    <t>Guesstimate age of riser is 12-13 ka by Hanson</t>
  </si>
  <si>
    <t>McCool</t>
  </si>
  <si>
    <t>3.5-4.4</t>
  </si>
  <si>
    <t>53</t>
  </si>
  <si>
    <t>assigned a 12-15 ka age range by RobL</t>
  </si>
  <si>
    <t>Waitara</t>
  </si>
  <si>
    <t>1.7-3.0</t>
  </si>
  <si>
    <r>
      <t xml:space="preserve">Beanland estimate of 15 </t>
    </r>
    <r>
      <rPr>
        <sz val="10"/>
        <color theme="1"/>
        <rFont val="Arial"/>
        <family val="2"/>
      </rPr>
      <t>±</t>
    </r>
    <r>
      <rPr>
        <sz val="10"/>
        <color theme="1"/>
        <rFont val="Calibri"/>
        <family val="2"/>
        <scheme val="minor"/>
      </rPr>
      <t xml:space="preserve"> 5 ridge offset</t>
    </r>
  </si>
  <si>
    <t>Mimiha</t>
  </si>
  <si>
    <t>0.7-2.0</t>
  </si>
  <si>
    <t>3-5</t>
  </si>
  <si>
    <t>2.5-4.5</t>
  </si>
  <si>
    <t>Crohane</t>
  </si>
  <si>
    <t>11-17</t>
  </si>
  <si>
    <t>Syme</t>
  </si>
  <si>
    <t>5-5.9</t>
  </si>
  <si>
    <t>60</t>
  </si>
  <si>
    <t>10.1</t>
  </si>
  <si>
    <t>J Hanson stream offset estimate of 60 m</t>
  </si>
  <si>
    <t>100 Acre</t>
  </si>
  <si>
    <t>2.4-7.2</t>
  </si>
  <si>
    <t>33-43 SS</t>
  </si>
  <si>
    <r>
      <t xml:space="preserve">Beanland estimate of 38 </t>
    </r>
    <r>
      <rPr>
        <sz val="10"/>
        <color theme="1"/>
        <rFont val="Arial"/>
        <family val="2"/>
      </rPr>
      <t>±</t>
    </r>
    <r>
      <rPr>
        <sz val="10"/>
        <color theme="1"/>
        <rFont val="Calibri"/>
        <family val="2"/>
        <scheme val="minor"/>
      </rPr>
      <t xml:space="preserve"> 5 stream offset</t>
    </r>
  </si>
  <si>
    <t xml:space="preserve">Beanland uses an age from Opepe Tephra 9.8 ka +- 4 ka </t>
  </si>
  <si>
    <t>Hautapu</t>
  </si>
  <si>
    <t>2.4-3.4</t>
  </si>
  <si>
    <t>5-13</t>
  </si>
  <si>
    <t>2 faulting events post-Taupo; overlying a Q1 or Q2a terrace</t>
  </si>
  <si>
    <t>Hinerua Thrust</t>
  </si>
  <si>
    <t>Hinerua</t>
  </si>
  <si>
    <t>0.25-0.4</t>
  </si>
  <si>
    <t>23 (20-26)</t>
  </si>
  <si>
    <t>Min from Kulnine Channel, Max from Winterholme. Preferred is median.</t>
  </si>
  <si>
    <t>Previous SR was vert. Updated to Net SR.</t>
  </si>
  <si>
    <t>From Persaud et al. (2016)</t>
  </si>
  <si>
    <t>From Townsend et al. (2010) converted to Net SR.</t>
  </si>
  <si>
    <t>0.15 (0.05-0.28)</t>
  </si>
  <si>
    <t>From Barrell CFM compilation 2020 and encompasses available site SR data</t>
  </si>
  <si>
    <t>From Barnes and Ghisetti (2016) CFM compilation 2020</t>
  </si>
  <si>
    <t>4.5 (2.5-6.5)</t>
  </si>
  <si>
    <t>0.56 (0.29-1.02)</t>
  </si>
  <si>
    <t>Min and mean unchanged from 2014 AFM. Max increased to bound poorly constrained site SR.</t>
  </si>
  <si>
    <t>From Villamor and Berryman (2001) and converted to Net SR using CFM dip.</t>
  </si>
  <si>
    <t>From Townsend CFM compilation 2020</t>
  </si>
  <si>
    <t>0.1 (0.05-0.2)</t>
  </si>
  <si>
    <t>From Mouslopoulou et al. (2007)</t>
  </si>
  <si>
    <t>1.5 (0.5-2)</t>
  </si>
  <si>
    <t>Unchanged from 2014 AFM and consistent with site uplift rates</t>
  </si>
  <si>
    <t>0.5 (0.25-0.75)</t>
  </si>
  <si>
    <t>Unchanged from 2014 AFM and consistent with site SR values</t>
  </si>
  <si>
    <t>1.5 (1-3)</t>
  </si>
  <si>
    <t>0.7 (0.3-1.13)</t>
  </si>
  <si>
    <t>Unchanged from 2014 AFM and consistent with SR site value</t>
  </si>
  <si>
    <t>Ostler South</t>
  </si>
  <si>
    <t>2 (1.5-3)</t>
  </si>
  <si>
    <t>Preferred value from reported max of 1.9 mm/yr for whole fault. Uncertainties are based on representative reported min uncertainties and max uncertainties.</t>
  </si>
  <si>
    <t>Two earthquakes recorded in trench approximately 1 km north of golf course trenches. SR calculated from RL offset and inferred age uncertainties of 600 years. Consistent with reported SR of 2.6 mm/yr.</t>
  </si>
  <si>
    <r>
      <rPr>
        <sz val="10"/>
        <rFont val="Calibri"/>
        <family val="2"/>
      </rPr>
      <t>≥</t>
    </r>
    <r>
      <rPr>
        <sz val="10"/>
        <rFont val="Calibri"/>
        <family val="2"/>
        <scheme val="minor"/>
      </rPr>
      <t>2.9 (2.4-3.4)</t>
    </r>
  </si>
  <si>
    <t>From long-term (360 ka) rate, consistent with shorter term rates.</t>
  </si>
  <si>
    <t>5 (3-7)</t>
  </si>
  <si>
    <t>Double Hill</t>
  </si>
  <si>
    <t>70 (55-80)</t>
  </si>
  <si>
    <t>3.5 (3.1-4.1)</t>
  </si>
  <si>
    <t>Updated to Howard et al. (2005) rate.</t>
  </si>
  <si>
    <t>1 (0.5-1.7)</t>
  </si>
  <si>
    <t>2.3 (1.7-2.8)</t>
  </si>
  <si>
    <t>From Gomez-Vasconcelos et al. (2017). Preferred is mean of 8 best measurements. Min and max are the range of those mean values.</t>
  </si>
  <si>
    <t>2.7 (1.6-3.7)</t>
  </si>
  <si>
    <t>From Gomez-Vasconcelos et al. (2017). Preferred is mean of 6 &lt;100 ka rates. Min and max are the range of those mean values.</t>
  </si>
  <si>
    <t>From Gomez-Vasconcelos et al. (2017).</t>
  </si>
  <si>
    <t>Updated from Van Dissen and Berryman (1996)</t>
  </si>
  <si>
    <t>0.2 (0.18-1.53)</t>
  </si>
  <si>
    <t>From Villamor et al. (2007)</t>
  </si>
  <si>
    <t>0.7 (0.5-0.92)</t>
  </si>
  <si>
    <t>Villamor et al. (2004); Villamor and Berryman (2006)</t>
  </si>
  <si>
    <t>Updated from Nicol et al. (2016)</t>
  </si>
  <si>
    <t>2.2 (2.0-2.5)</t>
  </si>
  <si>
    <t>Updated from Berryman et al. (1998) using 5.6 ka offset.</t>
  </si>
  <si>
    <t>0.55 (0.4-0.72)</t>
  </si>
  <si>
    <t>Matata Trench</t>
  </si>
  <si>
    <t>Beach Ridges II-IV</t>
  </si>
  <si>
    <t>Post-dates Kaharoa tephra on the main fault and rupture on a subsidiary fault post-dates a peat radiocarbon dated at &lt;250 yrs BP. Unclear if 250 yrs is a radiocarbon age or a calibrated age. No calibration curve stated.</t>
  </si>
  <si>
    <t>1850-1400 yr BP</t>
  </si>
  <si>
    <t>&lt;800 or 250 yr BP</t>
  </si>
  <si>
    <t>Bracketed by the Taupo Tephra and a radiocarbon dated peat bed inferred to post-date the faulting. Unclear if 1400 ± 60 yrs is a radiocarbon age or a calibrated age. No calibration curve stated.</t>
  </si>
  <si>
    <t>4800-1850 yr BP</t>
  </si>
  <si>
    <t>Offset of a beach ridge and creation of fissures with scarp-derived colluvium. Bracketed by Taupo Tephra and Whakatane Tephra. Max age could be younger than 3300 yr BP. Unclear if ages are radiocarbon or calibrated.</t>
  </si>
  <si>
    <t>Offset of a beach ridge and accumulation of peat and tephra. Bracketed by Taupo Tephra and Whakatane Tephra. Max age could be younger than 3300 yr BP. Unclear if ages are radiocarbon or calibrated.</t>
  </si>
  <si>
    <t>Offset of a beach ridge and burial or removal on downthrown side. Bracketed by Taupo Tephra and Whakatane Tephra. Max age could be younger than 3300 yr BP. Unclear if ages are radiocarbon or calibrated.</t>
  </si>
  <si>
    <t>4-5</t>
  </si>
  <si>
    <t>Hull et al. (1992); Hull (1994)</t>
  </si>
  <si>
    <t>Hull, A.G.; Dowrick, D.J.; Latter, J.H.; Zhao, J. 1992 Reassessment of potential earthquake losses in Taranaki. Institute of Geological &amp; Nuclear Sciences client report 1992/101. 22 p., figs</t>
  </si>
  <si>
    <t>Raub, M.L. 1985 The Neotectonic evolution of the Wakarara area, southern Hawke's Bay, New Zealand. MPhil (Geology) thesis, University of Auckland. [Theses]</t>
  </si>
  <si>
    <t>Berryman, K.R.; Cowan, H.A. 1993 Manawatu-Wanganui Region earthquake hazard analysis Stage 2. Part A : Active geological structures, Part B : Earthquake scenarios. Institute of Geological &amp; Nuclear Sciences client report 333902/2A. Part A: 35 p. Part B: 44 p.</t>
  </si>
  <si>
    <t>Cutten, H.N.C.; Beanland, S.; Berryman, K.R. 1988 The Rangiora Fault, an active structure in Hawkes Bay. p. 65-72 IN: Research notes 1988. Lower Hutt: New Zealand Geological Survey. Record / New Zealand Geological Survey 35.</t>
  </si>
  <si>
    <t>Halliday, S. 2003 The tectonic geomorphology and paleoseismology of the Patoka Fault, North Island Dextral Fault Belt, New Zealand. BSc(Hons) (Geology) thesis, Victoria University of Wellington. 77 p.</t>
  </si>
  <si>
    <t>Lensen, G.J.; Vella, P. 1971 The Waiohine River faulted terrace sequence. p. 117-119 IN: Collins, B.W.; Fraser, R. (eds.) Recent crustal movements. Wellington: Royal Society of New Zealand. Bulletin / Royal Society of New Zealand 9.</t>
  </si>
  <si>
    <t>Beanland, S. 1989 Detailed fault mapping in the Matahina Dam region. New Zealand Geological Survey Client report 89/8. 45 p.</t>
  </si>
  <si>
    <t>Beanland, S.; Berryman, K.R.; Blick, G.H. 1989 Geological investigations of the 1987 Edgecumbe earthquake, New Zealand. New Zealand Journal of Geology and Geophysics, 32(1): 73-91; doi: 10.1080/00288306.1989.10421390</t>
  </si>
  <si>
    <t>Woodward-Clyde Ltd 1998. Matahina Dam strengthening project. Geological completion report. GNS Science Report to Electricity Corporation of New Zealand, NH 95/80</t>
  </si>
  <si>
    <t>Stahl, T.; Quigley, M.C.; Bebbington, M.S. 2016 Tectonic geomorphology of the Fox Peak and Forest Creek Faults, South Canterbury, New Zealand : slip rates, segmentation and earthquake magnitudes. New Zealand Journal of Geology and Geophysics, 59(4): 568-591; doi: 10.1080/00288306.2016.1212908</t>
  </si>
  <si>
    <t>Stirling, M.W. 1992 Late Holocene beach ridges displaced by the Wellington Fault in the Lower Hutt area, New Zealand. New Zealand Journal of Geology and Geophysics, 35(4): 447-453</t>
  </si>
  <si>
    <t>Stirling (1992)</t>
  </si>
  <si>
    <t>Bushell (In prep.)</t>
  </si>
  <si>
    <t>Yeats, R.S. 2000 The 1968 Inangahua, New Zealand, and 1994 Northridge, California, earthquakes : implications for northwest Nelson. New Zealand Journal of Geology and Geophysics, 43(4): 587-599 [Published]</t>
  </si>
  <si>
    <t>Suggate, R.P. 1988 Quaternary deposition and deformation in the Buller and tributary valleys. Lower Hutt: New Zealand Geological Survey. Record / New Zealand Geological Survey 25. 51 p.</t>
  </si>
  <si>
    <t>Rorokoko</t>
  </si>
  <si>
    <t>Oaonui Trench</t>
  </si>
  <si>
    <t>c. 0.7</t>
  </si>
  <si>
    <t>Source not explicitly discussed but likely to be Neall (1979) and Alloway (1989). No uncertainties given.</t>
  </si>
  <si>
    <t>Hull et al. (1992)</t>
  </si>
  <si>
    <t>Offset of the top of the Opua Formation. No uncertainties given. Converted to a dip SR using CFM dip.</t>
  </si>
  <si>
    <t>Vulcan</t>
  </si>
  <si>
    <t>Rocks Creek</t>
  </si>
  <si>
    <t>Hawkdun Trench</t>
  </si>
  <si>
    <t>Beanland, S.; Fellows, D.L. 1985 Late Quaternary faulting at the Hawkdun lignite deposit, Central Otago. New Zealand Geological Survey immediate report EDS 85/23. 14 p., 7 figs</t>
  </si>
  <si>
    <t>Beanland and Fellows (1985)</t>
  </si>
  <si>
    <t>From total deformation in trench inferred to have occurred since formation of recent channel. May be two events. Unclear where the age comes from, possibly inferred. Also several older events in the last 35 ka.</t>
  </si>
  <si>
    <t>RI estimated to be a few thousand to about ten thousand years based on several events in 35 ka.</t>
  </si>
  <si>
    <t>&lt;5000 years</t>
  </si>
  <si>
    <t>Slightly reduced because junction with Wellington F has moved south and rate now partitioned onto Mohaka and Ruahine.</t>
  </si>
  <si>
    <t>Unchanged from 20214 AFM</t>
  </si>
  <si>
    <t>2 (1.5-2.5)</t>
  </si>
  <si>
    <t>4 (2-6)</t>
  </si>
  <si>
    <t>Same range as 2014 AFM. Preferred value is now midpoint of range.</t>
  </si>
  <si>
    <t>6 (4.5-7.5)</t>
  </si>
  <si>
    <t>From Carne et al. (2011) rate converted to Net SR using CFM dip</t>
  </si>
  <si>
    <t>2.5 (1.5-3.5)</t>
  </si>
  <si>
    <t>From the Baker site SR and rounded with consideration of slip rate balance with adjacent faults.</t>
  </si>
  <si>
    <t>3.5 (2.5-4.5)</t>
  </si>
  <si>
    <t>Rate reduced from Alfredton South because of partitionining to Saunders Road Fault.</t>
  </si>
  <si>
    <t>Haunui/Higginson</t>
  </si>
  <si>
    <t xml:space="preserve">Reduced to acknowledge Haunui site SR. </t>
  </si>
  <si>
    <t>Reduced based on Waitawhiti site</t>
  </si>
  <si>
    <t>Half of Saunders Road fault SR assigned to this and Waipukaka</t>
  </si>
  <si>
    <t>Waewaepa</t>
  </si>
  <si>
    <t>3 (2.5-3.5)</t>
  </si>
  <si>
    <t>Slightly reduced from 2014 AFM to reflect northward decrease in SR of E NIDFB</t>
  </si>
  <si>
    <t>Increased because of new site data and to be consistent with faults to the south</t>
  </si>
  <si>
    <t>Unchanged from 2014 AFM and consistent with site SR</t>
  </si>
  <si>
    <t>0.4 (0.2-0.7)</t>
  </si>
  <si>
    <t>0.3 (0.1-0.6)</t>
  </si>
  <si>
    <t>0.4 (0.1-0.7)</t>
  </si>
  <si>
    <t>Reduced slightly using range of site data</t>
  </si>
  <si>
    <t>Unchanged from 2014 AFM and consistent with site data</t>
  </si>
  <si>
    <t>Increased because is sum of multiple strands and to accommodate obliquity of slip</t>
  </si>
  <si>
    <t>Tukituki</t>
  </si>
  <si>
    <t>Tukituki Thrust</t>
  </si>
  <si>
    <t>Revised slightly using sites 246 and 247 and rounding to 1-2 DP.</t>
  </si>
  <si>
    <r>
      <t>SR is an average of all events at site (</t>
    </r>
    <r>
      <rPr>
        <sz val="10"/>
        <color theme="1"/>
        <rFont val="Calibri"/>
        <family val="2"/>
      </rPr>
      <t>≥</t>
    </r>
    <r>
      <rPr>
        <sz val="10"/>
        <color theme="1"/>
        <rFont val="Calibri"/>
        <family val="2"/>
        <scheme val="minor"/>
      </rPr>
      <t xml:space="preserve">3). Calculated Dip slip using dip reported in paper (29). Calculated Dip SR, as their value of heave is not consistent with the reported dip/throw (20 cm). </t>
    </r>
  </si>
  <si>
    <t>0.25 (0.1-0.4)</t>
  </si>
  <si>
    <t>Min based on site 1303 rate (58 ka). Max based on 5 Ma rate. Preferred is midpoint.</t>
  </si>
  <si>
    <t>0.26 (0.21-0.31)</t>
  </si>
  <si>
    <t>Range taken from largest minimum and smallest maximum. Preferred is midpoint.</t>
  </si>
  <si>
    <t>From T04/1 site rate.</t>
  </si>
  <si>
    <t>0.15 (0.1-0.2)</t>
  </si>
  <si>
    <t>Barrell 2020 compilation based on these sites</t>
  </si>
  <si>
    <t>0.63 (0.3-0.7)</t>
  </si>
  <si>
    <t>From Villamor 2020 compilation and Gómez-Vasconcelos et al. (2016).</t>
  </si>
  <si>
    <t>0.21 (0.16-0.27)</t>
  </si>
  <si>
    <t>0.2 (0.14-0.27)</t>
  </si>
  <si>
    <t>0.21 (0.15-0.28)</t>
  </si>
  <si>
    <t>Otawhao Road</t>
  </si>
  <si>
    <t>0.05-0.43</t>
  </si>
  <si>
    <t>terraces</t>
  </si>
  <si>
    <t>rates in Table 6.1 span a sequence of Q1a through Q4a terraces</t>
  </si>
  <si>
    <t>Tukipo</t>
  </si>
  <si>
    <t>0.04-0.22</t>
  </si>
  <si>
    <t>correlating locally to the Q1a to Q4a terraces (see Table 6.1 in Klos)</t>
  </si>
  <si>
    <t>Cemetery</t>
  </si>
  <si>
    <t>0.05-0.21</t>
  </si>
  <si>
    <t>Monastery</t>
  </si>
  <si>
    <t>0.12-0.31</t>
  </si>
  <si>
    <t>site questionably has vertical and dextral components</t>
  </si>
  <si>
    <t>0-2
1-5</t>
  </si>
  <si>
    <t>Mutiny Road</t>
  </si>
  <si>
    <t>Middle Road</t>
  </si>
  <si>
    <t>Rangefront</t>
  </si>
  <si>
    <r>
      <t xml:space="preserve">60 </t>
    </r>
    <r>
      <rPr>
        <sz val="10"/>
        <color theme="1"/>
        <rFont val="Arial"/>
        <family val="2"/>
      </rPr>
      <t>±</t>
    </r>
    <r>
      <rPr>
        <sz val="10"/>
        <color theme="1"/>
        <rFont val="Calibri"/>
        <family val="2"/>
      </rPr>
      <t xml:space="preserve"> 15</t>
    </r>
  </si>
  <si>
    <t>Tukituki Road</t>
  </si>
  <si>
    <t>0.4-0.75</t>
  </si>
  <si>
    <t>6-9</t>
  </si>
  <si>
    <t>0.4 (0.1-0.72)</t>
  </si>
  <si>
    <t>5.5 (4.9-6.2)</t>
  </si>
  <si>
    <t>From Langridge 2020 compilation and consistent with site data</t>
  </si>
  <si>
    <t>2.2 (1.3-3.1)</t>
  </si>
  <si>
    <t>Waiotahi North</t>
  </si>
  <si>
    <t>Assigned Whatakane North rate and consistent with lower half of site slip rates</t>
  </si>
  <si>
    <t>Based on post-27 ka site data</t>
  </si>
  <si>
    <t>0.5 (0.3-0.75)</t>
  </si>
  <si>
    <t>0.1 (0.05-0.15)</t>
  </si>
  <si>
    <t>1 (0.7-1.3)</t>
  </si>
  <si>
    <t>Unchanged from 2014 AFM and consistent with site values</t>
  </si>
  <si>
    <t>0.2 (0.14-0.44)</t>
  </si>
  <si>
    <t>From Langridge 2020 compilation and consistent with lower half of site slip rate</t>
  </si>
  <si>
    <t>0.13 (0.07-0.8)</t>
  </si>
  <si>
    <t>Preferred and min from Townsend et al. (2010), Maximum from Hull et al. (1992)</t>
  </si>
  <si>
    <t>Oruawharo - Mangatoro</t>
  </si>
  <si>
    <t>0.4 (0.3-0.51)</t>
  </si>
  <si>
    <t>0.09-0.2</t>
  </si>
  <si>
    <t>0.16 (0.09-0.28)</t>
  </si>
  <si>
    <t>0.9 (0.7-1)</t>
  </si>
  <si>
    <t>1.0 (0.8-1.1)</t>
  </si>
  <si>
    <t>0.5 (0.17-0.8)</t>
  </si>
  <si>
    <t>0.95 (0.4-1.5)</t>
  </si>
  <si>
    <t>0.23 (0.1-0.4)</t>
  </si>
  <si>
    <t>1.1 (0.4-2.1)</t>
  </si>
  <si>
    <t>0.23 (0.13-0.37)</t>
  </si>
  <si>
    <t>0.5 (0.2-1.0)</t>
  </si>
  <si>
    <t>0.64 (0.3-1.1)</t>
  </si>
  <si>
    <t>0.35 (0.2-0.4)</t>
  </si>
  <si>
    <t>Langridge, R.M.; Ries, W.F. 2015 Active fault mapping and fault avoidance zones for Hastings District and environs. GNS Science consultancy report 2015/112. 50 p. + 1 DVD</t>
  </si>
  <si>
    <t>Otane 2</t>
  </si>
  <si>
    <t>Argyll</t>
  </si>
  <si>
    <t>Waipawa 1</t>
  </si>
  <si>
    <t>Waipawa 2</t>
  </si>
  <si>
    <t>Opapa</t>
  </si>
  <si>
    <t>Scarp height measured using LiDAR DEM. Dip SR calculated using CFM dip and assumed to be net SR.</t>
  </si>
  <si>
    <t>Assigned a 12-15 ka age range by RobL</t>
  </si>
  <si>
    <t>Trench contains Kk Tephra and several faulted paleosols</t>
  </si>
  <si>
    <t>0.375 (0.22-0.53)</t>
  </si>
  <si>
    <t>0.24 (0.05-0.43)</t>
  </si>
  <si>
    <t>0.13 (0.04-0.22)</t>
  </si>
  <si>
    <t>0.13 (0.05-0.21)</t>
  </si>
  <si>
    <t>0.22 (0.12-0.31)</t>
  </si>
  <si>
    <t>Klos, P.Z. 2009 The Ruataniwha Fault : neotectonic evaluation and seismic hazard : Dannevirke region, New Zealand. Unknown thesis, Colorado College. 86 p.</t>
  </si>
  <si>
    <t>Wakarara</t>
  </si>
  <si>
    <t>Matheson Road</t>
  </si>
  <si>
    <t>Onepoto</t>
  </si>
  <si>
    <t>0.1-0.17</t>
  </si>
  <si>
    <t>0.07-0.13</t>
  </si>
  <si>
    <t>Unchanged from 2014 AFM and consistent with: a) low quality site data and b) model that rate is sum of Wairau + Flaxmore-Waimea-Tahunanui+ Whanganoa East Belt</t>
  </si>
  <si>
    <t>5.5 (3-8)</t>
  </si>
  <si>
    <t>15 (13-17)</t>
  </si>
  <si>
    <t>Slight increase from 2014 AFM because of site data and partitioning of slip with Awatere and Clarence faults</t>
  </si>
  <si>
    <t>27 (22-32)</t>
  </si>
  <si>
    <t>Unchanged from 2014 AFM and spans Haast R short term rate and Arawhata R long term rate.</t>
  </si>
  <si>
    <t>23 (21-34)</t>
  </si>
  <si>
    <t>Min and preferred unchanged from 2014 AFM and from Sutherland et al. (2006) medium-term rate. Max increased to span long-term rate of Barth et al. (2014)</t>
  </si>
  <si>
    <t>Halliday 2</t>
  </si>
  <si>
    <t>Kowhai Street</t>
  </si>
  <si>
    <t>Mt stewart</t>
  </si>
  <si>
    <t>Beagley - JAH</t>
  </si>
  <si>
    <t>Beagley - SRB</t>
  </si>
  <si>
    <t>3.55 (2.8-4.3)</t>
  </si>
  <si>
    <t>2.05 (1.5-2.6)</t>
  </si>
  <si>
    <t>1.65 (1-2.3)</t>
  </si>
  <si>
    <t>2.6 (1.9-3.3)</t>
  </si>
  <si>
    <t>Measurement from Lensen (1969). Preferred value is midpoint of range.</t>
  </si>
  <si>
    <t>Assigned a 10-12 ka (Holocene) age range by RobL.</t>
  </si>
  <si>
    <t>2.1 (1.7-2.5)</t>
  </si>
  <si>
    <t>Scarp height/ vertical rate only. Dip SR calculated from CFM dip and considered to be a minimum net SR.</t>
  </si>
  <si>
    <t>Assigned a 10-12 ka (Holocene) age range by RobL</t>
  </si>
  <si>
    <t>1.4 (1.0-1.8)</t>
  </si>
  <si>
    <t>0.75 (0.5-1)</t>
  </si>
  <si>
    <t>Stream?</t>
  </si>
  <si>
    <t>No fault trace (point); an estimated fold growth rate</t>
  </si>
  <si>
    <t>Scarp formed in Q5b? surface; though mapped as Q9b</t>
  </si>
  <si>
    <t>2.5 (1.8-3.2)</t>
  </si>
  <si>
    <t>Preferred value is midpoint of range.</t>
  </si>
  <si>
    <t>1.3 (1.0-1.6)</t>
  </si>
  <si>
    <t>Hillslope</t>
  </si>
  <si>
    <t>Site is close to CFM #327; size of displacements consistent with Holocene. Preferred value is midpoint of range.</t>
  </si>
  <si>
    <t>Site is close to CFM #327; size of displacements consistent with Holocene. Vert SR only, so Dip SR calculated from CFM dip and considered to be a minimum net SR.</t>
  </si>
  <si>
    <t>Site is close to CFM #308; size of displacements consistent with Holocene. Vert SR only, so Dip SR calculated from CFM dip and considered to be a minimum net SR.</t>
  </si>
  <si>
    <t>Scarp height only</t>
  </si>
  <si>
    <t>2.8 (2.5-3.1)</t>
  </si>
  <si>
    <t>&gt;0.5 (0.2-0.7)</t>
  </si>
  <si>
    <t>&gt;1.4 (1.0-1.7)</t>
  </si>
  <si>
    <t>Correlation; Tephra</t>
  </si>
  <si>
    <r>
      <t xml:space="preserve">Beanland estimate of 4 </t>
    </r>
    <r>
      <rPr>
        <sz val="10"/>
        <color theme="1"/>
        <rFont val="Arial"/>
        <family val="2"/>
      </rPr>
      <t>±</t>
    </r>
    <r>
      <rPr>
        <sz val="10"/>
        <color theme="1"/>
        <rFont val="Calibri"/>
        <family val="2"/>
        <scheme val="minor"/>
      </rPr>
      <t xml:space="preserve"> 1 scarp height. DS rate calculated using CFM dip values and assumed a min net SR.</t>
    </r>
  </si>
  <si>
    <r>
      <t xml:space="preserve">Beanland estimate of 14 </t>
    </r>
    <r>
      <rPr>
        <sz val="10"/>
        <color theme="1"/>
        <rFont val="Arial"/>
        <family val="2"/>
      </rPr>
      <t>±</t>
    </r>
    <r>
      <rPr>
        <sz val="10"/>
        <color theme="1"/>
        <rFont val="Calibri"/>
        <family val="2"/>
        <scheme val="minor"/>
      </rPr>
      <t xml:space="preserve"> 3 scarp height. DS rate calculated using CFM dip values and assumed a min net SR.</t>
    </r>
  </si>
  <si>
    <r>
      <t xml:space="preserve">Beanland estimate of 2.9 </t>
    </r>
    <r>
      <rPr>
        <sz val="10"/>
        <color theme="1"/>
        <rFont val="Arial"/>
        <family val="2"/>
      </rPr>
      <t>±</t>
    </r>
    <r>
      <rPr>
        <sz val="10"/>
        <color theme="1"/>
        <rFont val="Calibri"/>
        <family val="2"/>
        <scheme val="minor"/>
      </rPr>
      <t xml:space="preserve"> 0.5 scarp offset; with 9 +- 4 ka age. DS rate calculated using CFM dip values and assumed a min net SR.</t>
    </r>
  </si>
  <si>
    <t>Assigned a 10-12 ka (Holocene) age range by RobL; feature could be older</t>
  </si>
  <si>
    <t>Some control as trench/offet associated with Karapiti Tephra</t>
  </si>
  <si>
    <t>Streams</t>
  </si>
  <si>
    <t>3.25 (2.5-4.0)</t>
  </si>
  <si>
    <t>3 (2.3-3.7)</t>
  </si>
  <si>
    <t>3.15 (2.5-3.8)</t>
  </si>
  <si>
    <t>1.4 (1.1-1.7)</t>
  </si>
  <si>
    <t>3.7 (3.4-4)</t>
  </si>
  <si>
    <t>2.3 (0.6-4)</t>
  </si>
  <si>
    <t>2.4 (1.3-3.5)</t>
  </si>
  <si>
    <t>3.6 (1.8-5.4)</t>
  </si>
  <si>
    <t>&gt;0.4 (0.1-0.6)</t>
  </si>
  <si>
    <t>3.6 (2.1-5.1)</t>
  </si>
  <si>
    <t>3.4 (3.1-3.7)</t>
  </si>
  <si>
    <t>3.95 (3.5-4.4)</t>
  </si>
  <si>
    <t>Offset in Raub, given an uncertainity by Beanland. Preferred value is midpoint of range.</t>
  </si>
  <si>
    <t>Offset in Raub, given an uncertainity by Beanland.  Preferred value is midpoint of range.</t>
  </si>
  <si>
    <t>Beanland estimate of offset. Preferred value is midpoint of range.</t>
  </si>
  <si>
    <t>Small Beanland estimate of offset; site is within significant stepover zone of Mohaka F. Preferred value is midpoint of range.</t>
  </si>
  <si>
    <t>Offset is bigger than most other ones on the Mohaka Fault. Rate range could be higher if 20-30 ka used. Preferred value is midpoint of range.</t>
  </si>
  <si>
    <t>Beanland estimate of offset.  Preferred value is midpoint of range.</t>
  </si>
  <si>
    <t>Beanland estimate of offset; poor slip rate on small offset.  Preferred value is midpoint of range.</t>
  </si>
  <si>
    <t>Beanland estimate of offset; vertical slip rate only. DS rate calculated using CFM dip and considered min net SR.</t>
  </si>
  <si>
    <t>J Hanson offsets estimated on Oh2 riser.  Preferred value is midpoint of range.</t>
  </si>
  <si>
    <t>J Hanson mentions stream offset of 53 m (low qual).  Preferred value is midpoint of range.</t>
  </si>
  <si>
    <t>Assigned a 10-12 ka (Holocene) age range in Beanland (1995)</t>
  </si>
  <si>
    <t>Assigned a 12-20 ka age range by RobL; but could be younger</t>
  </si>
  <si>
    <t>Guesstimate of age range of feature</t>
  </si>
  <si>
    <t>Complete guess on age of recent alluvuim, set around Tp and Wm tephras?</t>
  </si>
  <si>
    <t>Correlation; tephra</t>
  </si>
  <si>
    <t>Channel on terrace</t>
  </si>
  <si>
    <t>Fan, terrace</t>
  </si>
  <si>
    <t>Stream at shutter ridge</t>
  </si>
  <si>
    <t>Ridge on hillslope</t>
  </si>
  <si>
    <t>Stream offset w/ gouge</t>
  </si>
  <si>
    <t>Stream, riser</t>
  </si>
  <si>
    <t>Shutter ridge, spurs</t>
  </si>
  <si>
    <t>Alluvium</t>
  </si>
  <si>
    <t>Drainages, shutter ridges</t>
  </si>
  <si>
    <t>2.8 (1.9-3.7)</t>
  </si>
  <si>
    <t>3.05 (2.6-3.)5</t>
  </si>
  <si>
    <t>2.9 (1.7-4.1)</t>
  </si>
  <si>
    <t>Moderate sized stream offset associated with Holocene. Preferred value is midpoint of range.</t>
  </si>
  <si>
    <t>Raub's plane table offset riser survey. Preferred value is midpoint of range.</t>
  </si>
  <si>
    <t>≥1.1</t>
  </si>
  <si>
    <t>4.35 (4.2-4.5)</t>
  </si>
  <si>
    <t>5.2 (3.8-6.6)</t>
  </si>
  <si>
    <t>2.5 (2-3.0)</t>
  </si>
  <si>
    <t>3.7 (3.2-4.2)</t>
  </si>
  <si>
    <t>4.9 (3.0-6.8)</t>
  </si>
  <si>
    <t>5.2 (2.9-7.5)</t>
  </si>
  <si>
    <t>Correlation; C14</t>
  </si>
  <si>
    <t>Tephra; Correlation</t>
  </si>
  <si>
    <t>0.2 (0.12-0.3)</t>
  </si>
  <si>
    <t>0.2 (0.16-0.26)</t>
  </si>
  <si>
    <t>Min rate derived by assuming the offset surface is Q5b. Preferred value is midpoint of range.</t>
  </si>
  <si>
    <t>min rate derived by assuming the offset surface is Q5b. Preferred value is midpoint of range.</t>
  </si>
  <si>
    <t>Profile through Mt Stewart itself. Preferred value is midpoint of range.</t>
  </si>
  <si>
    <t>Q9b surface on both sides of fault/fold. Preferred value is midpoint of range.</t>
  </si>
  <si>
    <t>1.45 (0.8-2.1)</t>
  </si>
  <si>
    <t>Channels; debris flows</t>
  </si>
  <si>
    <t>Features offset across hillslope. Preferred value is midpoint of range.</t>
  </si>
  <si>
    <t>Scarp height only. Dip SR calculated from CFM dip and considered to be a minimum net SR. Preferred value is midpoint of range.</t>
  </si>
  <si>
    <t>Scarp height and atttiude only; no strike-slip. Dip SR calculated from CFM dip and considered to be a minimum net SR. Preferred value is midpoint of range.</t>
  </si>
  <si>
    <t>3.55 (2.1-5)</t>
  </si>
  <si>
    <t>4.65 (3.7-5.6)</t>
  </si>
  <si>
    <t>Combination of strike-slip offset from channel and vertical from Halliday 2. Preferred value is midpoint of range.</t>
  </si>
  <si>
    <t>Offset terraces of Waikari River; coud be surveyed or remapped in future.  Preferred value is midpoint of range.</t>
  </si>
  <si>
    <t xml:space="preserve">Dating is good, but there is uncert-ainity about its relation to offset. </t>
  </si>
  <si>
    <t>Rate based on tephrastratigraphy; age of Waimihia Tephra updated by Lowe et al.</t>
  </si>
  <si>
    <t>Halliday (2003); Litchfield et al. (2005)</t>
  </si>
  <si>
    <t>Q2a</t>
  </si>
  <si>
    <t>Q3a</t>
  </si>
  <si>
    <t>Slip rate assessed as a fold growth rate.</t>
  </si>
  <si>
    <t>Possible scarp across Q2a, not confirmed</t>
  </si>
  <si>
    <t>Uses a mapped Q3a QMAP surface</t>
  </si>
  <si>
    <t>3.65 (3.2-4.1)</t>
  </si>
  <si>
    <t>V SR not reported. Offset measured by tape measure. Preferred value midpoint of range.</t>
  </si>
  <si>
    <t>Offset taken form core transect; uncertinity about which strand and fault location. Preferred value is midpoint of range.</t>
  </si>
  <si>
    <t>Well-constrained ages form lake basin cores</t>
  </si>
  <si>
    <t>min rate derived by assuming the offset surface is Q9b. Preferred value is midpoint of range.</t>
  </si>
  <si>
    <t>Profile across Feilding Hills. Preferred value is midpoint of range.</t>
  </si>
  <si>
    <t>5</t>
  </si>
  <si>
    <t>44-52</t>
  </si>
  <si>
    <t>17-20</t>
  </si>
  <si>
    <t>0.21-0.42</t>
  </si>
  <si>
    <t>0.13-0.28</t>
  </si>
  <si>
    <t>0.39 (0.31-0.52)</t>
  </si>
  <si>
    <t>0.36 (0.22-0.59)</t>
  </si>
  <si>
    <t>0.17 (0.13-0.24)</t>
  </si>
  <si>
    <t>0.2 (0.16-0.28)</t>
  </si>
  <si>
    <t>0.27 (0.13-0.47)</t>
  </si>
  <si>
    <t>0.24 (0.13-0.40)</t>
  </si>
  <si>
    <t>0.95 (0.7-1.2)</t>
  </si>
  <si>
    <t>1.6 (0.7-2.5)</t>
  </si>
  <si>
    <t>1.95 (1.0-2.9)</t>
  </si>
  <si>
    <t>Offset from Makaroro LiDAR acquisition. Preferred value is midpoint of range.</t>
  </si>
  <si>
    <t>Beanland estimate of offset has large uncertainity. Preferred value is midpoint of range.</t>
  </si>
  <si>
    <t>RTK profiling of terraces confirmed with LiDAR. Preferred value is midpoint of range.</t>
  </si>
  <si>
    <t>0.5 (0.2-0.7)</t>
  </si>
  <si>
    <t>0.85 (0.7-1)</t>
  </si>
  <si>
    <t>1.3 (0.9-1.7)</t>
  </si>
  <si>
    <t>1.1 (0.7-1.5)</t>
  </si>
  <si>
    <t>2.5 (2.0-3.0)</t>
  </si>
  <si>
    <t>Vertical scarp height only; uplift rate. Preferred value is midpoint of range.</t>
  </si>
  <si>
    <t>8-10 m mentioned in text of Hanson (1998). Preferred value is midpoint of range.</t>
  </si>
  <si>
    <t>8-12 m RL etc from Beanland (1995). Preferred value is midpoint of range.</t>
  </si>
  <si>
    <t>60 m stream offset described by Hanson (1998) = dodgy. Preferred value is midpoint of range.</t>
  </si>
  <si>
    <t>Correlation; Kp Tephra</t>
  </si>
  <si>
    <t>Correlation; Kk Tephra</t>
  </si>
  <si>
    <t>0-0.2
0.1-0.5</t>
  </si>
  <si>
    <t>Combined site into one (Higginson locality unkown; while Haunui offet is unknown). Preffered value is midpoint of range.</t>
  </si>
  <si>
    <t>0.3-1
0.1-0.3</t>
  </si>
  <si>
    <t>0.6-0.9</t>
  </si>
  <si>
    <t>0.04 (0.02-0.06)</t>
  </si>
  <si>
    <t>0.11 (0.08-0.14)</t>
  </si>
  <si>
    <t>0.02 (0-0.04)</t>
  </si>
  <si>
    <t>0.08 (0.05-0.11)</t>
  </si>
  <si>
    <t>0.01 (0-0.02)</t>
  </si>
  <si>
    <t>0.1 (0.08-0.13)</t>
  </si>
  <si>
    <t>0.15 0.1-0.2)</t>
  </si>
  <si>
    <t>0.07 (0.03-0.1)</t>
  </si>
  <si>
    <t>0.03 (0.02-0.04)</t>
  </si>
  <si>
    <t>0.09 (0.06-0.12)</t>
  </si>
  <si>
    <t>&gt;0.07 (0.05-0.09)</t>
  </si>
  <si>
    <t>&gt;0.02</t>
  </si>
  <si>
    <t>3 (2.2-3.8)</t>
  </si>
  <si>
    <t>Size of displacements consistent with Holocene. Preferred value is midpoint of range.</t>
  </si>
  <si>
    <t>Site mentioned to south of Quarry site. Preferred value is midpoint of range.</t>
  </si>
  <si>
    <t>scarp height only; could be considered as a SED value? Dip SR calculated from CFM dip and considered to be a minimum net SR. Preferred value is midpoint of range.</t>
  </si>
  <si>
    <t>scarp height only; vertical rate only. Dip SR calculated from CFM dip and considered to be a minimum net SR. Preferred value is midpoint of range.</t>
  </si>
  <si>
    <t>Scarp height only. Dip SR calculated from CFM dip and considered to be a minimum net SR.</t>
  </si>
  <si>
    <t>Scarp height only. Dip SR calculated using CFM dip and assumed to be net SR. Preferred value is midpoint of range.</t>
  </si>
  <si>
    <t>Scarp height and an estimate of 1 m dextral. Dip SR calculated using CFM dip and assumed to be net SR. Preferred value is midpoint of range.</t>
  </si>
  <si>
    <t>Value could be lower? Dip SR calculated using CFM dip and assumed to be net SR. Preferred value is midpoint of range.</t>
  </si>
  <si>
    <t>This is one of 2-3 traces at this locality &gt; minimum. Preferred value is midpoint of range.</t>
  </si>
  <si>
    <t>Dip SR calculated using CFM dip and assumed to be net SR. Preferred value is midpoint of range.</t>
  </si>
  <si>
    <t>Hospital trench. Dip SR calculated using CFM dip and assumed to be net SR. Preferred value is midpoint of range.</t>
  </si>
  <si>
    <t>value could be lower? Dip SR calculated using CFM dip and assumed to be net SR. Preferred value is midpoint of range.</t>
  </si>
  <si>
    <t>Tavistock trench; scarp profiled with LiDAR by RobL. Dip SR calculated using CFM dip and assumed to be net SR. Preferred value is midpoint of range.</t>
  </si>
  <si>
    <t>hillslope</t>
  </si>
  <si>
    <t>ridge</t>
  </si>
  <si>
    <t>channel?</t>
  </si>
  <si>
    <t>0.4 (0.2-0.6)</t>
  </si>
  <si>
    <t>Small displacements so could be SED? Preferred value is midpoint of range.</t>
  </si>
  <si>
    <t>0.17-0.6
0.04-0.15</t>
  </si>
  <si>
    <t>0.16 (0.11-0.2)</t>
  </si>
  <si>
    <t>0.12 (0.08-0.15)</t>
  </si>
  <si>
    <t>0.95 (0.5-1.4)</t>
  </si>
  <si>
    <t>Fault strike 099 = linking fault. Preferred value is midpoint of range.</t>
  </si>
  <si>
    <t>1.7 (1.1-2.3)</t>
  </si>
  <si>
    <t>Slip rate is significant. Preferred value is midpoint of range.</t>
  </si>
  <si>
    <t>Scarp height measured using LiDAR DEM. Preferred value is midpoint of range.</t>
  </si>
  <si>
    <t>1.25 (1-1.5)</t>
  </si>
  <si>
    <t>From Braemar trench site rate.</t>
  </si>
  <si>
    <t>From Edgecumbe trench site rate and consistent with long-term (280 ka Matahina) SR.</t>
  </si>
  <si>
    <t>From Camerons Line site slip rate</t>
  </si>
  <si>
    <t>Whakapoungakau</t>
  </si>
  <si>
    <t>0.23 (0.2-0.26)</t>
  </si>
  <si>
    <t>From Villamor 2021 CFM compilation</t>
  </si>
  <si>
    <t>Pukerimu - Haraharo</t>
  </si>
  <si>
    <t>0.09 (0.08-0.1)</t>
  </si>
  <si>
    <t>0.68 (0.28-1.09)</t>
  </si>
  <si>
    <t>Maunagwhakamana</t>
  </si>
  <si>
    <t>0.09 (0.08-0.11)</t>
  </si>
  <si>
    <t>Titoki Road</t>
  </si>
  <si>
    <t>0.4 (0.35-0.46)</t>
  </si>
  <si>
    <t>From Villamor 2021 CFM complation</t>
  </si>
  <si>
    <t>Te Kanakana</t>
  </si>
  <si>
    <t>0.43 (0.37-0.48)</t>
  </si>
  <si>
    <t>Kaingaroa 1</t>
  </si>
  <si>
    <t>Kaingaroa 2</t>
  </si>
  <si>
    <t>Kaingaroa 3</t>
  </si>
  <si>
    <t>0.18 (0.15-0.33)</t>
  </si>
  <si>
    <t>0.23 (0.2-0.42)</t>
  </si>
  <si>
    <t>NW Cardrona South</t>
  </si>
  <si>
    <t>&lt;9760 ± 560 yr</t>
  </si>
  <si>
    <t>20,500 ± 1550 - 9760 ± 560 yr</t>
  </si>
  <si>
    <t>23,000 - 20,500 ± 1550 yr</t>
  </si>
  <si>
    <t>Post-dates faulted soil. Age likely in radiocarbon years.</t>
  </si>
  <si>
    <t>Bracketed by radiocarbon ages of two faulted soils. Age likely in radiocarbon years.</t>
  </si>
  <si>
    <t>Bracketed by radiocarbon age of  faulted soil and inferred age for Mt Iron Advance. Age likely in radiocarbon years.</t>
  </si>
  <si>
    <t>&lt;18,000 yr</t>
  </si>
  <si>
    <t>Two events post-dating inferred age of Hawea Advance. Unclear if in radiocarbon years.</t>
  </si>
  <si>
    <t>4 m scarp on fan correlated to the Hawea Advance. Number of events could not be determined. Unclear if in radiocarbon years.</t>
  </si>
  <si>
    <t>Nevis</t>
  </si>
  <si>
    <t>70,000-18,000 yr</t>
  </si>
  <si>
    <t>Beanland and Barrow-Hurlbert (1988); Beanland et al. (1984) EDS Immediate Report 84/018</t>
  </si>
  <si>
    <t>Northwest Cardrona</t>
  </si>
  <si>
    <t>DC12 Kawarau Trace</t>
  </si>
  <si>
    <t>DC1 Ben Nevis Trace</t>
  </si>
  <si>
    <t>DC11 Branch Ck Rd Trace</t>
  </si>
  <si>
    <t>DC10 Maori Gully</t>
  </si>
  <si>
    <t>DC5</t>
  </si>
  <si>
    <t>DC6</t>
  </si>
  <si>
    <t>DC7</t>
  </si>
  <si>
    <t>DC8</t>
  </si>
  <si>
    <t>DC9</t>
  </si>
  <si>
    <t>&lt;23,000</t>
  </si>
  <si>
    <t>Site is on a faulted fan inferred to the Luggate Advance and adjacent to an unfaulted fan inferred to the Hawea Advance. Unclear if radiocarbon or calibrated ages.</t>
  </si>
  <si>
    <t>Site is on a faulted fan inferred to the Luggate Advance and adjacent to a series of faulted younger terraces. Unclear if radiocarbon or calibrated ages. 5 events inferred.</t>
  </si>
  <si>
    <t>Site is on a faulted fan inferred to the Luggate Advance and adjacent to a series of faulted younger terraces. Unclear if radiocarbon or calibrated ages.</t>
  </si>
  <si>
    <t>Site is on a faulted fan inferred to the Luggate Advance. Unclear if radiocarbon or calibrated ages.</t>
  </si>
  <si>
    <t>4000-9000</t>
  </si>
  <si>
    <t>≤5</t>
  </si>
  <si>
    <t>Not specifically defined, but appears to be inferred from up to 5 events on a 23 ka surface.</t>
  </si>
  <si>
    <t>Beanland and Barrow-Hurlbert (1988)</t>
  </si>
  <si>
    <t>3000-4000</t>
  </si>
  <si>
    <t>≤3</t>
  </si>
  <si>
    <t>Not specifically defined, but 9000 years likely from 2 events on a 18 ka surface.</t>
  </si>
  <si>
    <t>60 (40-70)</t>
  </si>
  <si>
    <t>c. 1.1</t>
  </si>
  <si>
    <t>1.6 (0.6-2.5)</t>
  </si>
  <si>
    <t>Calculated using CFM dip and inferred uncertainty of ±0.5 m</t>
  </si>
  <si>
    <t>Average value of 3 events in trench. No uncertainties reported.</t>
  </si>
  <si>
    <t>0.5 (0.3-0.8)</t>
  </si>
  <si>
    <t>Calculated using CFM dip. Preferred is midpoint value.</t>
  </si>
  <si>
    <t>Alluvial fans and terraces</t>
  </si>
  <si>
    <t>Specifics not given but likely to be a combination of trench measurements and scarp heights on progressively displaced terraces. Also unclear if vertical or DS, so assumed DS as per other sites in the paper.</t>
  </si>
  <si>
    <t>0.68 (0.86-1.51)</t>
  </si>
  <si>
    <t>0.31 (0.22-0.39)</t>
  </si>
  <si>
    <t>1.15 (0.96-1.33)</t>
  </si>
  <si>
    <t>Awaiti</t>
  </si>
  <si>
    <t>Rotoitipakau North</t>
  </si>
  <si>
    <t>1.3 (0.7-2.7)</t>
  </si>
  <si>
    <t>From Villamor and Coffey 2021 CFM compilation</t>
  </si>
  <si>
    <t>Manawahe</t>
  </si>
  <si>
    <t>North Rotoma</t>
  </si>
  <si>
    <t>1.7 (1.48-1.92)</t>
  </si>
  <si>
    <t>Highlands Road - Tumunui</t>
  </si>
  <si>
    <t>1.7 (1.4-2.0)</t>
  </si>
  <si>
    <t>Earthquake Flat - Tumunui</t>
  </si>
  <si>
    <t>Te Teko</t>
  </si>
  <si>
    <t>0.3 (0.2-0.7)</t>
  </si>
  <si>
    <t>Edgecumbe North</t>
  </si>
  <si>
    <t>0.5 (0.4-1.0)</t>
  </si>
  <si>
    <t>Tongariro Forest</t>
  </si>
  <si>
    <t>0.29 (0.25-0.33)</t>
  </si>
  <si>
    <t>Rotopounamu</t>
  </si>
  <si>
    <t>0.48 (0.38-0.59)</t>
  </si>
  <si>
    <t>Te Mihi</t>
  </si>
  <si>
    <t>0.17 (0.14-0.31)</t>
  </si>
  <si>
    <t>Rotokawa</t>
  </si>
  <si>
    <t>0.14 (0.11-0.17)</t>
  </si>
  <si>
    <t>1.0 (0.5-2.5)</t>
  </si>
  <si>
    <t>1.38 ± 0.02</t>
  </si>
  <si>
    <t>Taupo pumice formation</t>
  </si>
  <si>
    <t>1.177 (0.624-1.73)</t>
  </si>
  <si>
    <t>1.35 (0.8-2.88)</t>
  </si>
  <si>
    <t>Genevieve Coffey (unpublished data 2021)</t>
  </si>
  <si>
    <t>Highlands T2_1</t>
  </si>
  <si>
    <t>Highlands T2_2</t>
  </si>
  <si>
    <t>Highlands T2_3</t>
  </si>
  <si>
    <t>Highlands T2_4</t>
  </si>
  <si>
    <t>Highlands T2_5</t>
  </si>
  <si>
    <t>Highlands T2_6</t>
  </si>
  <si>
    <t>Highlands T2_7</t>
  </si>
  <si>
    <t>Highlands T2_8</t>
  </si>
  <si>
    <t>Earthquake Flat Formation</t>
  </si>
  <si>
    <t>61 (59.6-62.4)</t>
  </si>
  <si>
    <t>2.3 (1.1-2.4)</t>
  </si>
  <si>
    <t>EFT_T1_1</t>
  </si>
  <si>
    <t>EFT_T1_2</t>
  </si>
  <si>
    <t>EFT_T1_3</t>
  </si>
  <si>
    <t>EFT_T1_4</t>
  </si>
  <si>
    <t>EFT_T1_6</t>
  </si>
  <si>
    <t>EFT_T2_1</t>
  </si>
  <si>
    <t>EFT_T2_2</t>
  </si>
  <si>
    <t>EFT_T2_3</t>
  </si>
  <si>
    <t>EFT_T2_4</t>
  </si>
  <si>
    <t>EFT_T2_5</t>
  </si>
  <si>
    <t>EFT_T2_6</t>
  </si>
  <si>
    <t>EFT_T2_7</t>
  </si>
  <si>
    <t>RPN_1</t>
  </si>
  <si>
    <t>RPN_4</t>
  </si>
  <si>
    <t>RPN_5</t>
  </si>
  <si>
    <t>RPN_6</t>
  </si>
  <si>
    <t>1.01 ± 0.03</t>
  </si>
  <si>
    <t>TTK_1</t>
  </si>
  <si>
    <t>TTK_2</t>
  </si>
  <si>
    <t>TTK_3</t>
  </si>
  <si>
    <t>TTK_4</t>
  </si>
  <si>
    <t>TTK_5</t>
  </si>
  <si>
    <t>TTK_6</t>
  </si>
  <si>
    <t>TTK_7</t>
  </si>
  <si>
    <t>TTK_8</t>
  </si>
  <si>
    <t>TTK_9</t>
  </si>
  <si>
    <t>0.42 (0.36-0.48)</t>
  </si>
  <si>
    <t>Rotoiti Formation</t>
  </si>
  <si>
    <t>61.25 (59.6-60.425)</t>
  </si>
  <si>
    <t>From QMAP Rotorua (Leonard et al. 2010)</t>
  </si>
  <si>
    <t>0.38 (0.26-0.57)</t>
  </si>
  <si>
    <r>
      <t>Double scarp as on LiDAR but dip direction and downquad seem to violate the geomorph? Converted to a Dip SR using a dip of 60 ± 15</t>
    </r>
    <r>
      <rPr>
        <sz val="10"/>
        <color theme="1"/>
        <rFont val="Calibri"/>
        <family val="2"/>
      </rPr>
      <t>°</t>
    </r>
    <r>
      <rPr>
        <sz val="8"/>
        <color theme="1"/>
        <rFont val="Calibri"/>
        <family val="2"/>
      </rPr>
      <t xml:space="preserve"> and assume = Net SR.</t>
    </r>
  </si>
  <si>
    <t>Seismic reflectors</t>
  </si>
  <si>
    <t>AwF_1</t>
  </si>
  <si>
    <t>AwF_2</t>
  </si>
  <si>
    <t>AwF_3</t>
  </si>
  <si>
    <t>AwF_4</t>
  </si>
  <si>
    <t>AwF_5</t>
  </si>
  <si>
    <t>AwF_6</t>
  </si>
  <si>
    <t>1.0 (0.59-2.15)</t>
  </si>
  <si>
    <t>1.06 (0.63-2.26)</t>
  </si>
  <si>
    <t>0.42 (0.25-0.9)</t>
  </si>
  <si>
    <t>0.85 (0.5-1.82)</t>
  </si>
  <si>
    <t>1.38 (0.82-2.95)</t>
  </si>
  <si>
    <t>0.039 (0.037-0.042)</t>
  </si>
  <si>
    <t>0.63 (0.61-0.66)</t>
  </si>
  <si>
    <t>0.041 (0.039-0.043)</t>
  </si>
  <si>
    <t>0.35 (0.34-0.36)</t>
  </si>
  <si>
    <t>0.053 (0.05-0.055)</t>
  </si>
  <si>
    <t>0.21 (0.2-0.22)</t>
  </si>
  <si>
    <t>0.37 (0.36-0.38)</t>
  </si>
  <si>
    <t>0.88 (0.85-0.9)</t>
  </si>
  <si>
    <t>0.15 (0.14-0.16)</t>
  </si>
  <si>
    <t>0.32 (0.31-0.33)</t>
  </si>
  <si>
    <t>0.04 (0.038-0.042)</t>
  </si>
  <si>
    <t>0.52 (0.51-0.54)</t>
  </si>
  <si>
    <t>0.113 (0.109-0.116)</t>
  </si>
  <si>
    <t>0.184 (0.179-0.189)</t>
  </si>
  <si>
    <t>0.1 (0.097-0.103)</t>
  </si>
  <si>
    <t>0.25 (0.24-0.26)</t>
  </si>
  <si>
    <t>0.335 (0.34-0.37)</t>
  </si>
  <si>
    <t>0.166 (0.161-0.172)</t>
  </si>
  <si>
    <t>0.02 (0.017-0.022)</t>
  </si>
  <si>
    <t>ECN_1</t>
  </si>
  <si>
    <t>ECN_2</t>
  </si>
  <si>
    <t>ECN_3</t>
  </si>
  <si>
    <t>0.58 (0.5-0.67)</t>
  </si>
  <si>
    <t>0.56 (0.3-1.72)</t>
  </si>
  <si>
    <t>0.45 (0.39-0.52)</t>
  </si>
  <si>
    <t>0.99 (0.58-2.12)</t>
  </si>
  <si>
    <t>1.17 (0.69-2.49)</t>
  </si>
  <si>
    <t>1.31 (0.77-2.79)</t>
  </si>
  <si>
    <t>1.56 (0.92-3.34)</t>
  </si>
  <si>
    <t>0.1 (0.09-0.12)</t>
  </si>
  <si>
    <t>0.44 (0.38-0.51)</t>
  </si>
  <si>
    <t>0.21 (0.18-0.24)</t>
  </si>
  <si>
    <t>0.16 (0.14-0.19)</t>
  </si>
  <si>
    <t>0.63 (0.54-0.72)</t>
  </si>
  <si>
    <t>0.24 (0.21-0.27)</t>
  </si>
  <si>
    <t>0.19 (0.16-0.21)</t>
  </si>
  <si>
    <t>1.02 ± 0.02</t>
  </si>
  <si>
    <t>1.08 ± 0.02</t>
  </si>
  <si>
    <t>0.43 ± 0.02</t>
  </si>
  <si>
    <t>0.87 ± 0.02</t>
  </si>
  <si>
    <t>1.41 ± 0.02</t>
  </si>
  <si>
    <t>Tumunui</t>
  </si>
  <si>
    <t>2.08 ± 0.08</t>
  </si>
  <si>
    <t>33.49 ± 0.32</t>
  </si>
  <si>
    <t>2.17 ± 0.07</t>
  </si>
  <si>
    <t>18.74 ± 0.1</t>
  </si>
  <si>
    <t>2.78 ± 0.07</t>
  </si>
  <si>
    <r>
      <t>Dip SR calculated using a dip of 60 ± 15</t>
    </r>
    <r>
      <rPr>
        <sz val="10"/>
        <color theme="1"/>
        <rFont val="Calibri"/>
        <family val="2"/>
      </rPr>
      <t>°</t>
    </r>
    <r>
      <rPr>
        <sz val="10"/>
        <color theme="1"/>
        <rFont val="Calibri"/>
        <family val="2"/>
        <scheme val="minor"/>
      </rPr>
      <t>. No evidence of SS so Dip SR = Net SR.</t>
    </r>
  </si>
  <si>
    <t>11.14 ± 0.23</t>
  </si>
  <si>
    <t>19.65 ± 0.12</t>
  </si>
  <si>
    <t>46.23 ± 0.15</t>
  </si>
  <si>
    <t>18.51 ± 0.15</t>
  </si>
  <si>
    <t>7.85 ± 0.42</t>
  </si>
  <si>
    <t>16.66 ± 0.12</t>
  </si>
  <si>
    <t>2.12 ± 0.02</t>
  </si>
  <si>
    <t>0.32 ± 0.09</t>
  </si>
  <si>
    <t>0.25 ± 0.61</t>
  </si>
  <si>
    <t>1.697 (0.624-2.77)</t>
  </si>
  <si>
    <t>0.636 (0.624-0.648)</t>
  </si>
  <si>
    <r>
      <t>From Lidar profile and python code. Dip SR calculated using dip of 60 ± 15</t>
    </r>
    <r>
      <rPr>
        <sz val="10"/>
        <color theme="1"/>
        <rFont val="Calibri"/>
        <family val="2"/>
      </rPr>
      <t>°</t>
    </r>
    <r>
      <rPr>
        <sz val="10"/>
        <color theme="1"/>
        <rFont val="Calibri"/>
        <family val="2"/>
        <scheme val="minor"/>
      </rPr>
      <t>. No evidence of SS, so assume Dip SR = Net SR.</t>
    </r>
  </si>
  <si>
    <t>Highlands Road</t>
  </si>
  <si>
    <t>From QMAP Rotorua (Leonard et al. 2010).</t>
  </si>
  <si>
    <t>27.57 ± 0.12</t>
  </si>
  <si>
    <t>5.95 ± 0.05</t>
  </si>
  <si>
    <t>9.7 ± 0.04</t>
  </si>
  <si>
    <t>5.28 ± 0.06</t>
  </si>
  <si>
    <t>13.23 ± 0.05</t>
  </si>
  <si>
    <t>18.72 ± 0.17</t>
  </si>
  <si>
    <t>8.77 ± 0.08</t>
  </si>
  <si>
    <t>1.04 ± 0.1</t>
  </si>
  <si>
    <t>From Villamor and Coffey 2021 CFM compilation. Sum of 8 measurements along profile.</t>
  </si>
  <si>
    <t>From Villamor and Coffey 2021 CFM compilation. Average of 6 along-strike measurements.</t>
  </si>
  <si>
    <t>From Villamor and Coffey 2021 CFM compilation. Average of 4 along-strike measurements.</t>
  </si>
  <si>
    <t>1.19 ± 0.02</t>
  </si>
  <si>
    <t>1.33 ± 0.02</t>
  </si>
  <si>
    <t>1.59 ± 0.01</t>
  </si>
  <si>
    <t>From Villamor and Coffey 2021 CFM compilation. Pref from average of 9 along-strike measurements; Max from maximum of largest measurement; Min from minimum or smallest measurement.</t>
  </si>
  <si>
    <t>21.82 ± 0.17</t>
  </si>
  <si>
    <t>5.4 ± 0.37</t>
  </si>
  <si>
    <t>23.12 ± 0.14</t>
  </si>
  <si>
    <t>10.79 ± 0.12</t>
  </si>
  <si>
    <t>8.54 ± 0.07</t>
  </si>
  <si>
    <t>33.09 ± 0.15</t>
  </si>
  <si>
    <t>0.36 ± 0.8</t>
  </si>
  <si>
    <t>0.28 ± 0.09</t>
  </si>
  <si>
    <t>0.43 ± 0.07</t>
  </si>
  <si>
    <t>Taupo Pumice Formation</t>
  </si>
  <si>
    <t>1.72 (1.71-1.73)</t>
  </si>
  <si>
    <t>From Villamor and Coffey 2021 CFM compilation. Pref and max from sum of 7 measurements along profile 2. Min from sum of 5 measurements along profile 1.</t>
  </si>
  <si>
    <t>From Begg and Mousopoulou (2010)</t>
  </si>
  <si>
    <t>Kaharoa pumice formation</t>
  </si>
  <si>
    <t>Ohak_4</t>
  </si>
  <si>
    <t>1.18 (0.86-1.51)</t>
  </si>
  <si>
    <t>61.06 ± 1.49</t>
  </si>
  <si>
    <t>Waimarine Formation</t>
  </si>
  <si>
    <t>59.5 ± 14.5</t>
  </si>
  <si>
    <t>Pilar Villamor (unpublished data 2021)</t>
  </si>
  <si>
    <t>Raur_3</t>
  </si>
  <si>
    <t>0.68 ± 0.19</t>
  </si>
  <si>
    <t>35.09 ± 1.3</t>
  </si>
  <si>
    <t>Waimarino Formation</t>
  </si>
  <si>
    <t>15.72 ± 0.52</t>
  </si>
  <si>
    <t>Wahian_1</t>
  </si>
  <si>
    <t>1.15 ± 0.18</t>
  </si>
  <si>
    <t>43.46 ± 1.7</t>
  </si>
  <si>
    <t>Mangaehuehu Member of Mangawhero Formation</t>
  </si>
  <si>
    <t>43.75 ± 3.75</t>
  </si>
  <si>
    <t>0.67 (0.65-0.69)</t>
  </si>
  <si>
    <t>0.39 (0.36-0.41)</t>
  </si>
  <si>
    <t>0.77 (0.67-0.97)</t>
  </si>
  <si>
    <t>0.45 (0.38-0.58)</t>
  </si>
  <si>
    <t>6.02 ± 0.09</t>
  </si>
  <si>
    <t>3.47 ± 0.16</t>
  </si>
  <si>
    <t>9 ± 0.1</t>
  </si>
  <si>
    <t>From Villamor et al. (2011) and Villamor et al. (in prep.)</t>
  </si>
  <si>
    <t>1.68 (1.64-1.73)</t>
  </si>
  <si>
    <t>1.57 (1.54-1.6)</t>
  </si>
  <si>
    <t>1.39 (1.36-1.42)</t>
  </si>
  <si>
    <t>1.25 (1.22-1.28)</t>
  </si>
  <si>
    <t>1.94 (1.69-2.44)</t>
  </si>
  <si>
    <t>1.82 (1.6-2.27)</t>
  </si>
  <si>
    <t>1.61 (1.41-2.0)</t>
  </si>
  <si>
    <t>1.44 (1.26-1.81)</t>
  </si>
  <si>
    <t>15.12 ± 0.24</t>
  </si>
  <si>
    <t>14.15 ± 0.11</t>
  </si>
  <si>
    <t>12.51 ± 0.09</t>
  </si>
  <si>
    <t>11.24 ± 0.18</t>
  </si>
  <si>
    <t>0.51 (0.44-0.58)</t>
  </si>
  <si>
    <t>0.51 ± 0.07</t>
  </si>
  <si>
    <t>3.97 ± 0.1</t>
  </si>
  <si>
    <t>0.056 (0.055-0.057)</t>
  </si>
  <si>
    <t>0.142 (0.138-0.1046)</t>
  </si>
  <si>
    <t>0.065 (0.057-0.081)</t>
  </si>
  <si>
    <t>0.164 (0.143-2.06)</t>
  </si>
  <si>
    <t>29.85 ± 0.34</t>
  </si>
  <si>
    <t>75.33 ± 1.41</t>
  </si>
  <si>
    <t>Okataina Group</t>
  </si>
  <si>
    <t>531 ± 5</t>
  </si>
  <si>
    <t>128.22 ± 1.18</t>
  </si>
  <si>
    <t>347 ± 5</t>
  </si>
  <si>
    <t>~0.5
Not reported</t>
  </si>
  <si>
    <t>13.6 ± 0.2</t>
  </si>
  <si>
    <t>4.77 ± 0.13</t>
  </si>
  <si>
    <t>Waiohau Tephra</t>
  </si>
  <si>
    <t>Rotoma Tephra</t>
  </si>
  <si>
    <t>35.64 ± 1</t>
  </si>
  <si>
    <t>Okataina Group rhyolite</t>
  </si>
  <si>
    <t>437 ± 9</t>
  </si>
  <si>
    <t>6.78 ± 0.91</t>
  </si>
  <si>
    <t>11.47 ± 6.54</t>
  </si>
  <si>
    <t>TongFor_2</t>
  </si>
  <si>
    <t>TongFor_3</t>
  </si>
  <si>
    <t>0.31 (0.30-0.33)</t>
  </si>
  <si>
    <t>0.18 (0.16-0.21)</t>
  </si>
  <si>
    <t>0.36 (0.31-0.47)</t>
  </si>
  <si>
    <t>0.21 (0.16-0.3)</t>
  </si>
  <si>
    <t>Whakamaru Group Ignimbrite</t>
  </si>
  <si>
    <t>108.98 ± 4.47</t>
  </si>
  <si>
    <t>347 ± 4</t>
  </si>
  <si>
    <t>Rotopou_1</t>
  </si>
  <si>
    <t>52.36 ± 2.28</t>
  </si>
  <si>
    <t>Pihanga Formation</t>
  </si>
  <si>
    <t>125 ± 20</t>
  </si>
  <si>
    <t>Te_Mihi_2</t>
  </si>
  <si>
    <t>Te_Mihi_3</t>
  </si>
  <si>
    <t>0.164 (0.156-0.172)</t>
  </si>
  <si>
    <t>0.126 (0.199-0.133)</t>
  </si>
  <si>
    <t>0.19 (0.16-0.24)</t>
  </si>
  <si>
    <t>0.15 (0.12-0.19)</t>
  </si>
  <si>
    <t>4.44 ± 0.21</t>
  </si>
  <si>
    <t>3.41 ± 0.17</t>
  </si>
  <si>
    <t>Oruanui Ignimbrite</t>
  </si>
  <si>
    <t>27.1 ± 0.1</t>
  </si>
  <si>
    <t>Rotok_1</t>
  </si>
  <si>
    <t>Rotok_3</t>
  </si>
  <si>
    <t>0.107 (0.1-0.115)</t>
  </si>
  <si>
    <t>0.14 (0.1-0.17)</t>
  </si>
  <si>
    <t>0.12 (0.1-0.16)</t>
  </si>
  <si>
    <t>0.16 (0.1-0.24)</t>
  </si>
  <si>
    <t>2.91 ± 0.19</t>
  </si>
  <si>
    <t>3.66 ± 0.99</t>
  </si>
  <si>
    <t>Otaramak_1</t>
  </si>
  <si>
    <t>Otaramak_2</t>
  </si>
  <si>
    <t>Otamarakau</t>
  </si>
  <si>
    <t>0.81 (0.78-0.84)</t>
  </si>
  <si>
    <t>0.59 (0.55-0.63)</t>
  </si>
  <si>
    <t>From Villamor 2021 CFM compilation. Average of 2 along-strike measurements.</t>
  </si>
  <si>
    <t>0.94 (0.81-1.19)</t>
  </si>
  <si>
    <t>0.68 (0.57-0.89)</t>
  </si>
  <si>
    <t>49.55 ± 0.72</t>
  </si>
  <si>
    <t>35.74 ± 1.64</t>
  </si>
  <si>
    <t>Kaing_TM1_4</t>
  </si>
  <si>
    <t>Kaing_TM2_1</t>
  </si>
  <si>
    <t>Kaing_TM3_1</t>
  </si>
  <si>
    <t>Kaing_TM3_2</t>
  </si>
  <si>
    <t>Kaing_TM3_3</t>
  </si>
  <si>
    <t>Kaing_TM3_5</t>
  </si>
  <si>
    <t>0.025 (0.024-0.027)</t>
  </si>
  <si>
    <t>0.084 (0.079-0.09)</t>
  </si>
  <si>
    <t>0.078 (0.072-0.084)</t>
  </si>
  <si>
    <t>0.066 (0.062-0.07)</t>
  </si>
  <si>
    <t>0.105 (0.099-0.111)</t>
  </si>
  <si>
    <t>0.065 (0.0.65-0.073)</t>
  </si>
  <si>
    <t>0.09 (0.07-0.12)</t>
  </si>
  <si>
    <t>0.08 (0.06-0.1)</t>
  </si>
  <si>
    <t>0.08 (0.07-0.1)</t>
  </si>
  <si>
    <t>5.8 ± 0.09</t>
  </si>
  <si>
    <t>19.22 ± 0.39</t>
  </si>
  <si>
    <t>17.78 ± 0.66</t>
  </si>
  <si>
    <t>15.09 ± 0.18</t>
  </si>
  <si>
    <t>24.04 ± 0.31</t>
  </si>
  <si>
    <t>15.75 ± 0.21</t>
  </si>
  <si>
    <t>229 ± 10</t>
  </si>
  <si>
    <t>From Villamor 2021 CFM compilation.  Sum of 2 sets of measurements on 2 strands; 1 set is average of 5 values along-strike.</t>
  </si>
  <si>
    <t>Kaing_TM1_1</t>
  </si>
  <si>
    <t>Kaing_TM1_2</t>
  </si>
  <si>
    <t>Kaing_TM1_3</t>
  </si>
  <si>
    <t>Kaing_TM1_6</t>
  </si>
  <si>
    <t>0.015 (0.013-0.018)</t>
  </si>
  <si>
    <t>0.069 (0.065-0.073)</t>
  </si>
  <si>
    <t>0.016 (0.015-0.018)</t>
  </si>
  <si>
    <t>0.03 (0.028-0.032)</t>
  </si>
  <si>
    <t>0.02 (0.01-0.03)</t>
  </si>
  <si>
    <t>0.019 (0.016-0.025)</t>
  </si>
  <si>
    <t>0.034 (0.029-0.046)</t>
  </si>
  <si>
    <t>3.51 ± 0.43</t>
  </si>
  <si>
    <t>15.69 ± 0.23</t>
  </si>
  <si>
    <t>3.76 ± 0.17</t>
  </si>
  <si>
    <t>6.83 ± 0.25</t>
  </si>
  <si>
    <t>From Villamor 2021 CFM compilation. Sum or 5 measurements along a profile.</t>
  </si>
  <si>
    <t>Kaing_TM1_9</t>
  </si>
  <si>
    <t>Kaing_TM1_11</t>
  </si>
  <si>
    <t>Kaing_TM1_12</t>
  </si>
  <si>
    <t>Kaing_TM1_14</t>
  </si>
  <si>
    <t>Kaing_TM2_2</t>
  </si>
  <si>
    <t>0.03 (0.029-0.032)</t>
  </si>
  <si>
    <t>0.086 (0.082-0.091)</t>
  </si>
  <si>
    <t>0.011 (0.011-0.012)</t>
  </si>
  <si>
    <t>0.045 (0.042-0.047)</t>
  </si>
  <si>
    <t>0.024 (0.023-0.026)</t>
  </si>
  <si>
    <t>0.035 (0.03-0.046)</t>
  </si>
  <si>
    <t>0.013 (0.011-0.017)</t>
  </si>
  <si>
    <t>0.05 (0.04-0.07)</t>
  </si>
  <si>
    <t>6.96 ± 0.13</t>
  </si>
  <si>
    <t>19.7 ± 0.15</t>
  </si>
  <si>
    <t>2.59 ± 0.08</t>
  </si>
  <si>
    <t>10.2 ± 0.12</t>
  </si>
  <si>
    <t>5.545 ± 0.1</t>
  </si>
  <si>
    <t>From Villamor 2021 CFM compilation. Sum of 2 measurements along a profile.</t>
  </si>
  <si>
    <t>From Villamor 2021 CFM compilation. Sum of 4 measurements along a profile.</t>
  </si>
  <si>
    <t>From Nicol 2020 CFM compilation</t>
  </si>
  <si>
    <t>From Villamor 2021 CFM complation. Sum of 2 along-strike measurements.</t>
  </si>
  <si>
    <r>
      <t>From Lidar profile and python code. Dip SR calculated using dip of 60 ± 15</t>
    </r>
    <r>
      <rPr>
        <sz val="10"/>
        <color theme="1"/>
        <rFont val="Calibri"/>
        <family val="2"/>
      </rPr>
      <t>°</t>
    </r>
    <r>
      <rPr>
        <sz val="10"/>
        <color theme="1"/>
        <rFont val="Calibri"/>
        <family val="2"/>
        <scheme val="minor"/>
      </rPr>
      <t>. No evidence of SS, so assume Dip SR = Net SR. Combined SR for CFM appears to have incorrectly used KaingTM1_4 instead of this site.</t>
    </r>
  </si>
  <si>
    <t>Kaingaroa</t>
  </si>
  <si>
    <t>Raetihi profile</t>
  </si>
  <si>
    <t>Kaing_TM1_8</t>
  </si>
  <si>
    <t>Townsend, D.B.; Leonard, G.S.; Conway, C.E.; Eaves, S.R.; Wilson, C.J.N. (compilers) 2017 Geology of the Tongariro National Park area. Lower Hutt, N.Z.: GNS Science. GNS Science geological map 4. 1 sheet + 109 p., scale 1:60,000</t>
  </si>
  <si>
    <t>Profile 12</t>
  </si>
  <si>
    <t>OVC_1</t>
  </si>
  <si>
    <t>OVC_2</t>
  </si>
  <si>
    <t>Leonard et al. (2010)</t>
  </si>
  <si>
    <t>OVC_9</t>
  </si>
  <si>
    <t>Mangakotukutuku</t>
  </si>
  <si>
    <t>OVC_8</t>
  </si>
  <si>
    <t>Post-dates last large eruption and so inferred to be bracketed between Rerewhakaaitu and Whakatane tephras. From Leonard et al. (2010)</t>
  </si>
  <si>
    <t>OVC_11</t>
  </si>
  <si>
    <t>OVC_16</t>
  </si>
  <si>
    <t>Whakamaru Ignimbrite</t>
  </si>
  <si>
    <t>McIvor Road</t>
  </si>
  <si>
    <t>From Townsend et al. (2017)</t>
  </si>
  <si>
    <t>From Leonard et al. (2010)</t>
  </si>
  <si>
    <t>Age estimate based on Waimihia tephra</t>
  </si>
  <si>
    <t>6.1-11.7</t>
  </si>
  <si>
    <t>8.9 (6.1-11.7)</t>
  </si>
  <si>
    <t>1.024-1.314</t>
  </si>
  <si>
    <t>Age assigned from radiocarbon date at nearby site.</t>
  </si>
  <si>
    <t>Maximum slip rate. Young age could be two events. Preferred value is midpoint of range.</t>
  </si>
  <si>
    <t>0.75-1.7</t>
  </si>
  <si>
    <t>1.2(0.8-1.7)</t>
  </si>
  <si>
    <t>A small Beanland  offset (9-17 m); the calculated value is proably a minimum because offet is proably late Holocene. Preferred value is midpoint of range.</t>
  </si>
  <si>
    <t>Landform could be younger than others of  10-12 ka, i.e the rate shown here is proably a minimum</t>
  </si>
  <si>
    <t>Inglis-Oh</t>
  </si>
  <si>
    <t>Inglis-Lho</t>
  </si>
  <si>
    <t>Inglis-Eho</t>
  </si>
  <si>
    <t>4.8-7.6</t>
  </si>
  <si>
    <t>4.6-5.2</t>
  </si>
  <si>
    <t>4.9 (4.6-5.2)</t>
  </si>
  <si>
    <t>5.5-7.8</t>
  </si>
  <si>
    <t>25-35</t>
  </si>
  <si>
    <t>Rob has re-interpreted the slip history at this site using 2-3 available dates</t>
  </si>
  <si>
    <t>uses late Holocene date from Inglis-3 trench</t>
  </si>
  <si>
    <t>48-58</t>
  </si>
  <si>
    <t>10.44-11.08</t>
  </si>
  <si>
    <t>uses early Holocene date from Inglis-3 trench</t>
  </si>
  <si>
    <t>60-70</t>
  </si>
  <si>
    <t>riser channel pair</t>
  </si>
  <si>
    <t>uses dates from Inglis-3 trench to confidently apply 10-12 ka range</t>
  </si>
  <si>
    <t>0.6-1</t>
  </si>
  <si>
    <t>0.17-0.3</t>
  </si>
  <si>
    <t>0.07-0.17</t>
  </si>
  <si>
    <t>0.1-0.25</t>
  </si>
  <si>
    <t>Luminescence date from trench</t>
  </si>
  <si>
    <t>Correlation to OSL and C-14 dates near these trenches in Kaikora canyon</t>
  </si>
  <si>
    <t>Kelsey et al. (1998)</t>
  </si>
  <si>
    <t>assigned a 10-12 ka (Holocene) age range by RobL; seem to be Oh terrace of Waipawa River</t>
  </si>
  <si>
    <t>1-2.5</t>
  </si>
  <si>
    <t>Correlation to regional chronostratigrpahy of other Poukawa FZ sites</t>
  </si>
  <si>
    <t>9-12</t>
  </si>
  <si>
    <t>Kelsey et al. (unpublished data)</t>
  </si>
  <si>
    <t>Langridge et al. (unpublished data)</t>
  </si>
  <si>
    <t>0.6 (0.4-1.2)</t>
  </si>
  <si>
    <t>0.14 (0.07-0.3)</t>
  </si>
  <si>
    <t>Scarp re-measured using LiDAR; vertical only here. Dip SR calculated using CFM dip and inferred to be net SR.</t>
  </si>
  <si>
    <t>profile from LiDAR</t>
  </si>
  <si>
    <t>Q2a from QMAP; assigned an age range of 12-24 ka</t>
  </si>
  <si>
    <t>Coronation St</t>
  </si>
  <si>
    <t>1.8</t>
  </si>
  <si>
    <t>1.4-1.9</t>
  </si>
  <si>
    <t>3.2-3.4</t>
  </si>
  <si>
    <t>59-71</t>
  </si>
  <si>
    <t>6.2 (4.8-7.6)</t>
  </si>
  <si>
    <t>6 (5-7)</t>
  </si>
  <si>
    <t>1.5-2</t>
  </si>
  <si>
    <t>profile from Lidar</t>
  </si>
  <si>
    <t>Rob L assigns this to being a Q2a terrace or fan; though QMAP show it as a lQa surface</t>
  </si>
  <si>
    <t>Robert Langridge</t>
  </si>
  <si>
    <t>≥1.4 (0.7-2.1)</t>
  </si>
  <si>
    <t>&gt;2.6 (2.1-3.6)</t>
  </si>
  <si>
    <r>
      <rPr>
        <sz val="10"/>
        <color theme="1"/>
        <rFont val="Calibri"/>
        <family val="2"/>
      </rPr>
      <t>≥</t>
    </r>
    <r>
      <rPr>
        <sz val="10"/>
        <color theme="1"/>
        <rFont val="Calibri"/>
        <family val="2"/>
        <scheme val="minor"/>
      </rPr>
      <t>1</t>
    </r>
  </si>
  <si>
    <t>Only RL and no uncertainties given.</t>
  </si>
  <si>
    <t>0.6-4.3</t>
  </si>
  <si>
    <r>
      <rPr>
        <sz val="10"/>
        <color theme="1"/>
        <rFont val="Calibri"/>
        <family val="2"/>
      </rPr>
      <t>≥</t>
    </r>
    <r>
      <rPr>
        <sz val="10"/>
        <color theme="1"/>
        <rFont val="Calibri"/>
        <family val="2"/>
        <scheme val="minor"/>
      </rPr>
      <t>5</t>
    </r>
  </si>
  <si>
    <r>
      <rPr>
        <sz val="10"/>
        <color theme="1"/>
        <rFont val="Calibri"/>
        <family val="2"/>
      </rPr>
      <t>≥</t>
    </r>
    <r>
      <rPr>
        <sz val="10"/>
        <color theme="1"/>
        <rFont val="Calibri"/>
        <family val="2"/>
        <scheme val="minor"/>
      </rPr>
      <t>16</t>
    </r>
  </si>
  <si>
    <t>1.4 (1.2-1.6)</t>
  </si>
  <si>
    <t>Northern Section trench</t>
  </si>
  <si>
    <t>4410-2850 cal. BP</t>
  </si>
  <si>
    <t>Bracketed by two 14C ages, probably charcoal. Calibrated but calibration curve not given or sigma uncertainty.</t>
  </si>
  <si>
    <t>Van Dissen et al. (1993)</t>
  </si>
  <si>
    <t>7780-5740 cal. BP</t>
  </si>
  <si>
    <t>10000 years ago</t>
  </si>
  <si>
    <t>Inferred ponding following event. Minimum age from base of ponded deposits. Probably charcoal. Calibrated but calibration curve not given or sigma.</t>
  </si>
  <si>
    <t>Ruataniwha trench</t>
  </si>
  <si>
    <t>2000-5000</t>
  </si>
  <si>
    <t>Rough estimate, appears to based upon two events in the last 4000 - 10000 years.</t>
  </si>
  <si>
    <t>&lt;4500-2300 years ago</t>
  </si>
  <si>
    <t>Maximum earthquake age from underlying colluvial wedge. OSL dating. Assumed calibrated age. 2-sigma uncertainty.</t>
  </si>
  <si>
    <t>Amos et al. (2011)</t>
  </si>
  <si>
    <t>Genevieve Coffey</t>
  </si>
  <si>
    <t>&gt;8400-4100 years ago</t>
  </si>
  <si>
    <t>Minimum earthquake edge from faulted colluvial deposits. OSL dated. Assumed calibrated age. 2-sigma uncertainty.</t>
  </si>
  <si>
    <t xml:space="preserve"> R.J.; Hull</t>
  </si>
  <si>
    <t xml:space="preserve"> A.G.; Read</t>
  </si>
  <si>
    <t xml:space="preserve"> S.A.L. 1994 Timing of some large Holocene earthquakes on the Ostler Fault</t>
  </si>
  <si>
    <t xml:space="preserve"> New Zealand. p. 381-386 IN: Proceedings of the Eighth International Symposium on Recent Crustal Movements (CRCM '93)</t>
  </si>
  <si>
    <t xml:space="preserve"> Kobe</t>
  </si>
  <si>
    <t xml:space="preserve"> December 6-11</t>
  </si>
  <si>
    <t xml:space="preserve"> 1993. Japan: Geodetic Society of Japan [Published]</t>
  </si>
  <si>
    <t>Greendale</t>
  </si>
  <si>
    <t>Clinton Road trench</t>
  </si>
  <si>
    <t>2010 AD</t>
  </si>
  <si>
    <t>Hornblow et al. (2014)</t>
  </si>
  <si>
    <t>&lt;32300</t>
  </si>
  <si>
    <t>OSL dated gravels infilling offset channel to provide a maximum age. 2 sigma uncertainty</t>
  </si>
  <si>
    <t>Highfield Road trench</t>
  </si>
  <si>
    <t>30000-20000 years ago</t>
  </si>
  <si>
    <t>Bracketed by three ages that are used to define the maximum age and one age used to define the minimum age. Ages are from gravels infilling offset channels. OSL dated. 2 sigma uncertainties</t>
  </si>
  <si>
    <t>2010 Darfield earthquake</t>
  </si>
  <si>
    <t>Rotoitipakau trench A</t>
  </si>
  <si>
    <t>&lt;665 years BP</t>
  </si>
  <si>
    <t>Maximum event age from the Kaharoa Tephra underlying the colluvial wedge interpret to have formed during this event. Uncalibrated age. 2-sigma uncertainty.</t>
  </si>
  <si>
    <t>&gt;4830 years BP</t>
  </si>
  <si>
    <t>Minimum age from the Whakatane tephra immediately overlying an offset paleosol. The event occurred shortly before the deposition of the Whakatane tephra. Uncalibrated age. 2-sigma uncertainty.</t>
  </si>
  <si>
    <t>Rotoitipakau trench B</t>
  </si>
  <si>
    <t>1987 AD</t>
  </si>
  <si>
    <t>Maximum event age from the Kaharoa tephra underlying an an offset paleosol and colluvial wedge formed during this event. Uncalibrated age. 2-sigma uncertainty.</t>
  </si>
  <si>
    <t>4830-665 years BP</t>
  </si>
  <si>
    <t>Maximum and minimum ages from the Whakatane and Kaharoa tephras respectively. The colluvial wedge produced during the events consists of Whakatane tephra and the event likely occurred shortly after the deposition of the Whakatane tephra. Uncalibrated age. 2-sigma uncertainty.</t>
  </si>
  <si>
    <t>Rotoitipakau trench C</t>
  </si>
  <si>
    <t>Maximum age from Kaharoa tephra underlying the colluvial wedge produced during this event. Uncalibrated age. 2-sigma uncertainty.</t>
  </si>
  <si>
    <t>7250-4830 years BP</t>
  </si>
  <si>
    <t>Minimum age from overlying Whakatane tephra and maximum age from the underlying Mamaku tephra. Uncalibrated age. 2-sigma uncertainty.</t>
  </si>
  <si>
    <t>8530-7250 years BP</t>
  </si>
  <si>
    <t>Minimum and maximum ages from the Mamaku and Rotoma tephras respectively. Uncalibrated age. 2-sigma uncertainty.</t>
  </si>
  <si>
    <t>Rotoitipakau trench D</t>
  </si>
  <si>
    <t>Minimum and maximum ages stated by the authors from the Whakatane and Kaharoa tephras respectively. However, some small-scale faulting displacements exted into the Whakatane tephra. Assumed calibrated age. 2-sigma uncertainty.</t>
  </si>
  <si>
    <t>Minimum and maximum ages from the Rotoma and Mamaku tephras respectively. Assumed calibrated age. 2-sigma uncertainty.</t>
  </si>
  <si>
    <t>Rotoitipakau trench E</t>
  </si>
  <si>
    <t>665-64 years BP</t>
  </si>
  <si>
    <t>Minimum and maximum ages from the Tarawera and Kaharoa tephras respectively. Assumed calibrated age. 2-sigma uncertainty.</t>
  </si>
  <si>
    <t>Minimum and maximum ages from the Kaharoa and Whakatane tephras respectively. Assumed calibrated age. 2-sigma uncertainty.</t>
  </si>
  <si>
    <t>Rotoitipakau trench F</t>
  </si>
  <si>
    <t>Evidence for two events above the Kaharoa tephra but further timing is unknown. Assumed calibrated age. 2-sigma uncertainty.</t>
  </si>
  <si>
    <t>1987 Edgecumbe Earthquake</t>
  </si>
  <si>
    <t xml:space="preserve">Doney 1 trench </t>
  </si>
  <si>
    <t>1770-700 years ago</t>
  </si>
  <si>
    <t>Minimum and maximum ages from Kaharoa and Taupo tephras respectively. Uncertainties not reported. Calibrated ages</t>
  </si>
  <si>
    <t>13800-9500 years ago</t>
  </si>
  <si>
    <t>Minimum and maximum ages from the Rotoma and Waiohau tephras respectively. Uncertainties not reported. Calibrated ages</t>
  </si>
  <si>
    <t>c. 13800 years ago</t>
  </si>
  <si>
    <t>Event is constrained to the time period of Waiohau tephra fall. Uncertainties not reported. Calibrated ages</t>
  </si>
  <si>
    <t>Fraser-Pain 1 trench</t>
  </si>
  <si>
    <t>700-120 years ago</t>
  </si>
  <si>
    <t>Minimum and maximum ages constrained by the Rotomahana and Kaharoa tephras respectively. Uncertainties not reported. Calibrated ages</t>
  </si>
  <si>
    <t>8100-1770 years ago</t>
  </si>
  <si>
    <t>Minimum and maximum ages constrained by the Taupo Lapilli and Mamaku paleosol respectively. Uncertainties not reported. Calibrated ages</t>
  </si>
  <si>
    <t>9500-8100 years ago</t>
  </si>
  <si>
    <t>Minimum and maximum ages constrained by the Mamaku and Rotoma tephras respectively. Uncertainties not reported. Calibrated ages</t>
  </si>
  <si>
    <t>Field 1 trench</t>
  </si>
  <si>
    <t>700-400 years ago</t>
  </si>
  <si>
    <t>Minimum and maximum ages constrained by the Mamaku and Rotoma tephras respectively. Calibrated ages. Uncertainties not reported.</t>
  </si>
  <si>
    <t>Event age is constrained to during the Waiohau eruption. Calibrated ages. Uncertainties not reported.</t>
  </si>
  <si>
    <t xml:space="preserve">Event age is constrained to during the Waiohau eruption. Age is indistinguishable from EQ3. Calibrated age. Uncertainties not reported. </t>
  </si>
  <si>
    <t>Field 2 trench</t>
  </si>
  <si>
    <t>500-300 years ago</t>
  </si>
  <si>
    <t>Event age from radiocarbon dating of buried soil unit interpreted to be close to the age of this event. Calibrated ages using Stuiver &amp; Reimer (1993) and the Southern Hemisphere correction from McCormac et al. (1998). Two-sigma uncertainty.</t>
  </si>
  <si>
    <t>c. 9500 years ago</t>
  </si>
  <si>
    <t>Event age is constrained to deposition of the Rotoma Tephra. Calibrated ages. Uncertainties not reported.</t>
  </si>
  <si>
    <t>Minimum and maixmum ages constrained by the Rotoma and Waiohau tephras respectively. Calibrated ages. Uncertainties not reported.</t>
  </si>
  <si>
    <t>Field 3 trench</t>
  </si>
  <si>
    <t>&lt;1770 years ago</t>
  </si>
  <si>
    <t>Maximum age constrained by the taupo ignimbrite, lack of finer age control due to an absence of younger tephras in this trench. Calibrated age. Uncertainties not reported.</t>
  </si>
  <si>
    <t>Event age constrained to deposition of the Rotoma tephra. Calibrated age. Uncertainties not reported.</t>
  </si>
  <si>
    <t xml:space="preserve">Forest 1 trench </t>
  </si>
  <si>
    <t>Event age constrained by radiocarbon dating ages from soil within fissure fill in the footwall of the fault. Calibrated ages using Stuiver &amp; Reimer (1993) and the Southern Hemisphere correction from McCormac et al. (1998). 2-sigma uncertainty</t>
  </si>
  <si>
    <t>1770-400 years ago</t>
  </si>
  <si>
    <t>Minimum and maximum ages constrained by the age of event 1 and the Taupo ignimbrite respectively. Calibrated ages. Uncertainties not reported.</t>
  </si>
  <si>
    <t>Forest 2 trench</t>
  </si>
  <si>
    <t>&lt;511-297 years ago</t>
  </si>
  <si>
    <t>Age range given is a radiocarbon age from soil in the unit immediately above the fault tip. Event age is interpreted to be slightly younger than this. Calibrated ages using Stuiver &amp; Reimer (1993) and the Southern Hemisphere correction from McCormac et al. (1998). Two-sigma uncertainty.</t>
  </si>
  <si>
    <t>Minimum and maximum ages constrained by the Taupo eruptives and Mamaku tephra respectively. Calibrated ages. Uncertainties not reported.</t>
  </si>
  <si>
    <t xml:space="preserve">Event age constrained to during the airfall of the Waiohau tephra. Calibrated age. Uncertainties not reported. </t>
  </si>
  <si>
    <t>c. 15800 years ago</t>
  </si>
  <si>
    <t>Event age constrained to the Rotorua tephra. Calibrated ages. Uncertainties not reported.</t>
  </si>
  <si>
    <t>&gt;22500 years ago</t>
  </si>
  <si>
    <t>Minimum age from the Okareka tephra. Event age is intepreted to be slightly older than the tephra age as the next oldest tephra (Oruanui) is noy present in the trench. Calibrated ages. Uncertainties not reported.</t>
  </si>
  <si>
    <t>c. 7000-12000</t>
  </si>
  <si>
    <t>Calculated from the difference in ages between the three events listed to the right. If 4 events are represented here the RI becomes c. 6000-8000</t>
  </si>
  <si>
    <t>8814-1750 years BP</t>
  </si>
  <si>
    <t>Minimum and maximum ages constrained by radiocarbon dates of the Taupo pumice and an underlying charcoal-rich ashy layer (unit 11). Taupo pumice age calibrated using Calib v. 4.3. Unit 11 is calibrated using the calibration curve of Stuiver (1998). The maximum 2-sigma uncertainty from the range included in the study is used for the Taupo pumice here.</t>
  </si>
  <si>
    <t>15700-9550 years BP</t>
  </si>
  <si>
    <t xml:space="preserve">Minimum and maximum ages constrained by the Rotoma tephra and Rotorua lapilli respectively. Ages calibrated using Calib v. 4.3 (Stuiver &amp; Reimer 1993) and the 1998 calibration curve (Stuiver et al. 1998). The maximum 2-sigma uncertainty from the range included in the study is used here. </t>
  </si>
  <si>
    <t>27000-15700 years BP</t>
  </si>
  <si>
    <t>Minimum and maximum ages constrained by the Rotorua lapilli and ages from a basal gravel marker bed respectively. Two events possible in this interval. Ages calibrated using Calib v. 4.3 (Stuiver &amp; Reimer 1993) and the 1998 calibration curve (Stuiver et al. 1998). The maximum 2-sigma uncertainty from the range included in the study is used here.</t>
  </si>
  <si>
    <t>Trench 2</t>
  </si>
  <si>
    <t>c. 5000-7000</t>
  </si>
  <si>
    <t xml:space="preserve">Calcualted from the difference in ages between the two events listed to the right. </t>
  </si>
  <si>
    <t>8050-1750 years BP</t>
  </si>
  <si>
    <t>Minimum and maximum ages constraied by the Taupo pumice and Mamaku tephra respectively.  Ages calibrated using Calib v. 4.3 (Stuiver &amp; Reimer 1993) and the 1998 calibration curve (Stuiver et al. 1998). The maximum 2-sigma uncertainty from the range included in the study is used here.</t>
  </si>
  <si>
    <t xml:space="preserve">Minimum and maximum ages constrained by the Rotoma tephra and Rotorua lapilli respectively. Possibly occurred between the Rotorua and Waiohau tephras (15700-13800 years ago) but not enough evidence given. Ages calibrated using Calib v. 4.3 (Stuiver &amp; Reimer 1993) and the 1998 calibration curve (Stuiver et al. 1998). The maximum 2-sigma uncertainty from the range included in the study is used here. </t>
  </si>
  <si>
    <t xml:space="preserve">Horohoro Trench 1 </t>
  </si>
  <si>
    <t>Horohoro Trench 2</t>
  </si>
  <si>
    <t>Waimea-Flaxmore</t>
  </si>
  <si>
    <t>ca. 6000</t>
  </si>
  <si>
    <t>From three events dated using radiocarbon and OSL</t>
  </si>
  <si>
    <t>Wairoa-1 trench</t>
  </si>
  <si>
    <t>18000-16300 years ago</t>
  </si>
  <si>
    <t>Minimum and maximum ages from OSL dating of the offset terrace and silt resting immediately on the terrace gravels. Calibrated ages. 2-sigma uncertainty. Two more recent events were also recorded in this trench but no ages were established.</t>
  </si>
  <si>
    <t>Wairoa-2 trench</t>
  </si>
  <si>
    <t>6810-5650 years ago</t>
  </si>
  <si>
    <t xml:space="preserve">Age bounds from radiocarbon ages bracketing a peat horizon. The event is interpreted to have occurred you peat accumulation. Calibrated ages. 2-sigma uncertainty. </t>
  </si>
  <si>
    <t>13800-7200 years ago</t>
  </si>
  <si>
    <t>This earthquake is inferred from a terrace outside of Wairoa-2, which has been displaced by a greater amount than the lower units in Wairoa-2. The minimum is constrained from radiocarbon dating of the oldest peat in Wairoa-2. The maximum age is from OSL dating of this displaced terrace. Calibrated ages. 2-sigma uncertainty.</t>
  </si>
  <si>
    <t>Bishopdale-1 trench</t>
  </si>
  <si>
    <t>6000-4200 years ago</t>
  </si>
  <si>
    <t>Minimum age constrained using radiocabon dates of a paleosol above faulted units. 2-sigma uncertainty. Maximum age calculated using sedimentation rates in the trench. Calibrated ages</t>
  </si>
  <si>
    <t>Whirinaki east</t>
  </si>
  <si>
    <t>Matthews trench</t>
  </si>
  <si>
    <t>1000-7000</t>
  </si>
  <si>
    <t>Calculated from the difference in ages of events found in this trench. RI is 1000 - 4000 years for the whole Whirinaki fault.</t>
  </si>
  <si>
    <t>432 years BP</t>
  </si>
  <si>
    <t>Event age constrained by radiocarbon dating of the colluvial wedge. Number of measurements and what whas dated not described. Calibrated ages. 2-sigma uncertainty</t>
  </si>
  <si>
    <t>501 years BP</t>
  </si>
  <si>
    <t>15400-5500 years BP</t>
  </si>
  <si>
    <t>Minimum and maximum ages constrained by the Rotoma and Rotorua tephras respectively. Calibrated ages. 2-sigma uncertainty.</t>
  </si>
  <si>
    <t>27000-21800 years BP</t>
  </si>
  <si>
    <t>Minimum and maximum ages constrained by the Okareka and Kawakawa tephras respectively. Calibrated ages. 2-sigma uncertainty.</t>
  </si>
  <si>
    <t>Whirinaki west</t>
  </si>
  <si>
    <t>Fitzpatrick trench</t>
  </si>
  <si>
    <t>2000-12000</t>
  </si>
  <si>
    <t>&lt;1700 years BP</t>
  </si>
  <si>
    <t>Maximum age constrained from the age of the Taupo eruption. Calibrated age</t>
  </si>
  <si>
    <t>8000-1700 years BP</t>
  </si>
  <si>
    <t>Minimum and maximum ages constrained by the Taupo and Mamaku tephras respectively. Maximum bound is possibly the younger Whakatane tephra. Calibrated ages.</t>
  </si>
  <si>
    <t>9500-5500 years BP</t>
  </si>
  <si>
    <t>Minimum and maximum ages constrained by the Whakatane and Rotoma tephras respectively. Minimum bound is possibly the older Mamaku tephra. Calibrated ages.</t>
  </si>
  <si>
    <t>9500 years BP</t>
  </si>
  <si>
    <t>Age constrained by the Rotoma tephra. Colluvial wedge falls within this unit. Calibrated age.</t>
  </si>
  <si>
    <t>21800-15400 years BP</t>
  </si>
  <si>
    <t>Minimum and maximum ages constrained by the Rotorua and Okareka tephras respectively. Calibrated ages.</t>
  </si>
  <si>
    <t>Trench 1</t>
  </si>
  <si>
    <t>8496 years BP</t>
  </si>
  <si>
    <t>Age constrained from a radiocarbon date on charcoal immediately above the surface faulted during this event. IRSL ages were also collected above and below this and are roughly consistent with this age. Calibrated age using the southern hemisphere atmospheric correction (McCormac et al. 2004). 2-sigma uncertainty.</t>
  </si>
  <si>
    <t>8483 years BP</t>
  </si>
  <si>
    <t>Age constrained from a radiocarbon date on charcoal detritus within a colluvial wedge produced during this event. Calibrated age using the southern hemisphere atmospheric correction (McCormac et al. 2004). 2-sigma uncertainty. At least two other events were identified within this trench but lack age constraints.</t>
  </si>
  <si>
    <t>Trench 3</t>
  </si>
  <si>
    <t>&lt;2513 years BP</t>
  </si>
  <si>
    <t>Age constrained from a radiocarbon date of charcoal within faulted units. Soil development after the event suggests an age &lt; 1000 years BP is unlikely. Calibrated age using the southern hemisphere atmospheric correction (McCormac et al. 2004). 2-sigma uncertainty uncertainty.</t>
  </si>
  <si>
    <t>Trench 4</t>
  </si>
  <si>
    <t>4000-5300</t>
  </si>
  <si>
    <t>3-4 events over 16000 years</t>
  </si>
  <si>
    <t>&lt;3479 years BP</t>
  </si>
  <si>
    <t>Age constrained from a radiocarbon date on detrital charcoal in fissure fill associated with this event. Calibrated age using the southern hemisphere atmospheric correction (McCormac et al. 2004). 2-sigma uncertainty.</t>
  </si>
  <si>
    <t>&lt;16400 years BP</t>
  </si>
  <si>
    <t>Maximum bound constrained by a luminescence age of faulted channel deposits.</t>
  </si>
  <si>
    <t>Trench 5</t>
  </si>
  <si>
    <t>~3000 years</t>
  </si>
  <si>
    <t>Uses ages of the MRE and penultimate event.</t>
  </si>
  <si>
    <t>3514-539 years BP</t>
  </si>
  <si>
    <t>Minimum and maximum age bounds constrained using radiocarbon ages of modern soil and graben fill respectively. Calibrated age using the southern hemisphere atmospheric correction (McCormac et al. 2004). 2-sigma uncertainty.</t>
  </si>
  <si>
    <t>5570-3514 years BP</t>
  </si>
  <si>
    <t>Minimum and maximum ages constrain using radiocarbon ages of two graben fill units. Calibrated age using the southern hemisphere atmospheric correction (McCormac et al. 2004). 2-sigma uncertainty.</t>
  </si>
  <si>
    <t>&gt;5570 years BP</t>
  </si>
  <si>
    <t>Minimum age constrained by a radiocarbon age from graben fill. Calibrated age using the southern hemisphere atmospheric correction (McCormac et al. 2004). 2-sigma uncertainty.</t>
  </si>
  <si>
    <t>&lt;1850 years ago</t>
  </si>
  <si>
    <t>Interpreted from pre-existing scarp height. Inferred to be younger than the Taupo tephra, likely c. 800 years ago (from fossil cracks). Unclear if calibrated. No uncertainties. Trenches are not described separately in the paper but the events listed here and below are interpreted to have occurred at each of the three trenches. A combined entry is also included</t>
  </si>
  <si>
    <t>Beanland et al. (1989)</t>
  </si>
  <si>
    <t>Interpreted from pre-existing scarp height. Inferred to be younger than the Taupo tephra, likely c. 800 years ago (from fossil cracks). Unclear if calibrated. No uncertainties.</t>
  </si>
  <si>
    <t>800-&gt;1000</t>
  </si>
  <si>
    <t>&gt;2</t>
  </si>
  <si>
    <t xml:space="preserve">At least two events in the last 1850 years. One of these events is though to have occurred c. 800 years ago. </t>
  </si>
  <si>
    <t>Edgecumbe Trench 3</t>
  </si>
  <si>
    <t>Edgecumbe Trench 4</t>
  </si>
  <si>
    <t>Edgecumbe Trench 5</t>
  </si>
  <si>
    <t>Huffadine trench</t>
  </si>
  <si>
    <t>900 ± 800 cal yr BP</t>
  </si>
  <si>
    <t>Minimum and maximum age bounds constrained using  the time of European settlement (1850 AD) and age of the Taupo tephra respectively. Calibrated ages. Two-sigma uncertainty,</t>
  </si>
  <si>
    <t>McClymont et al. (2009)</t>
  </si>
  <si>
    <t>3600 ± 1900 cal yr BP</t>
  </si>
  <si>
    <t>Minimum and maximum age bounds constrained using the Taupo and Whakatane tephras respectively. Calibrated ages. Two-sigma uncertainty.</t>
  </si>
  <si>
    <t xml:space="preserve">7500 ± 2000 </t>
  </si>
  <si>
    <t>Minimum and maximum age bounds constrained using the Whakatane and Rotoma tephras respectively. Calibrated ages. Two-sigma uncertainty.</t>
  </si>
  <si>
    <t>12500 ±  3000 cal yr BP</t>
  </si>
  <si>
    <t>Minimum and maximum age bounds constrained using the ages of the Rotoma tephra and Rotorua tephra. Calibrated ages. Two-sigma uncertainty</t>
  </si>
  <si>
    <t>18600 ± 3200 cal yr BP</t>
  </si>
  <si>
    <t>Minimum and maximum age bounds constrained using the ages of the Rotorua and Okareka tephras respectively. Calibrated ages. Two-sigma uncertainty.</t>
  </si>
  <si>
    <t>Minimum and maximum age bounds constrained using the ages of the Rotorua and Okareka tephras respectively. Although the age ranges are the same for events 5 and 6, it is clear that event 5 occurrred sometime after event 6 from the deposition of loess and paleosol.  Calibrated ages. Two-sigma uncertainty.</t>
  </si>
  <si>
    <t>24400 ± 800 cal yr BP</t>
  </si>
  <si>
    <t>Event occurred during the deposition of the Te Rere tephra. Age is constrained from radiocarbon dating of this unit. Calibrated age. Two-sigma uncertainty.</t>
  </si>
  <si>
    <t>T07/2</t>
  </si>
  <si>
    <t>&gt;23400 - &lt;39000</t>
  </si>
  <si>
    <t>Two events in 77500 years, most likely within 50000 years</t>
  </si>
  <si>
    <t>ca. 22000-12900</t>
  </si>
  <si>
    <t xml:space="preserve">Minimum and maximum bounds on age are constrained using OSL ages of unfaulted unit 2e (a younger radiocarbon date on charcoal in this unit was also measured) and faulted unit 3 (two consistent OSL ages) respectively. Assumed two-sigma uncertainty. </t>
  </si>
  <si>
    <t>ca. 50000 years BP</t>
  </si>
  <si>
    <t>Minimum and maximum bounds on age are constrained using OSL ages of unfaulted unit 3a and faulted unit 5a respectively. The preferred age is an OSL age of sediments close to the fault tip. Assumed two-sigma uncertainty.</t>
  </si>
  <si>
    <t xml:space="preserve">Kirkliston </t>
  </si>
  <si>
    <t>Puatai Beach trench</t>
  </si>
  <si>
    <t>420-250 cal yr BP</t>
  </si>
  <si>
    <t>1100-910 cal yr BP</t>
  </si>
  <si>
    <t>1770-1710 cal yr BP</t>
  </si>
  <si>
    <t>Pakarae River mouth trench</t>
  </si>
  <si>
    <t>850 ± 450</t>
  </si>
  <si>
    <t>1490-1290 cal yr BP</t>
  </si>
  <si>
    <t>T1 west</t>
  </si>
  <si>
    <t>7430-7000 cal yr BP</t>
  </si>
  <si>
    <t>T2 west</t>
  </si>
  <si>
    <t>4300 cal yr BP</t>
  </si>
  <si>
    <t>Shell radiocarbon age of the terrace. Calibrated using marine calibrations of Hughen et al. (2004). Two-sigma uncertainty.</t>
  </si>
  <si>
    <t xml:space="preserve">T3 east </t>
  </si>
  <si>
    <t>3500 cal yr BP</t>
  </si>
  <si>
    <t>Shell radiocarbon age of the terrace and consistent with the presence of the overlying Waimihia tephra. Calibrated using marine calibrations of Hughen et al. (2004). Two-sigma uncertainty.</t>
  </si>
  <si>
    <t>T4 west</t>
  </si>
  <si>
    <t>2900 cal yr BP</t>
  </si>
  <si>
    <r>
      <t xml:space="preserve">Ages constrained using the radiocarbon age of the youngest shells. 2 sigma ages calibrated using Marine13C and ΔR = 142 </t>
    </r>
    <r>
      <rPr>
        <sz val="10"/>
        <color theme="1"/>
        <rFont val="Calibri"/>
        <family val="2"/>
      </rPr>
      <t>± 29 yrs.</t>
    </r>
  </si>
  <si>
    <t>Ages constrained using the radiocarbon age of the  youngest shells on the uplifted terrace platform. 2 sigma ages calibrated using Marine13C and ΔR = 142 ± 29 yrs.</t>
  </si>
  <si>
    <t>Minimum and maximum bounds on age are constrained by the age of the Taupo tephra (identified using microprobe analysis) and the oldest radiocarbon ages from shells upon the next lowest tephra. 2 sigma ages calibrated using Marine13C and ΔR = 142 ± 29 yrs.</t>
  </si>
  <si>
    <t>Shell radiocarbon age for the terrace from Ota et al. (1991), presence of he Taupo tephra was used to identify the appropriate radiocarbon age. Calibrated using marine calibrations of Hughen et al. (2004). Two-sigma uncertainty.</t>
  </si>
  <si>
    <t>This terrace corresponds to the transgressive surface from Gibb (1986) and the age is taken from this study. Age is consistent with the age of the oldest underlying marine sediments (7430-7280 cal yr BP). Estimated uncertainty. May be younger terraces missing.</t>
  </si>
  <si>
    <t>Poutu transect 1, fault 3a</t>
  </si>
  <si>
    <t xml:space="preserve">&lt;20000 years ago </t>
  </si>
  <si>
    <t>Age appears to have been constrained using the age of the Mangawhero formation. Assumed to be a calibrated age. No uncertainties given. Some offset on antithetic fault strands. Event identified from geomorphic evidence and in outcrop.</t>
  </si>
  <si>
    <t>Poutu transect 2, fault 5a</t>
  </si>
  <si>
    <t>&lt;128000 years ago</t>
  </si>
  <si>
    <t>Age from the Tama Trig lava. Assumed to be a calibrated age. No uncertainties given. Slip on an antithetic fault strand. Event identified from geomorphic evidence and in outcrop.</t>
  </si>
  <si>
    <t>Poutu transect 3, fault 5a</t>
  </si>
  <si>
    <t>Age appears to have been constrained using an age of the Mangawhero formation. Assumed to be a calibrated age. No uncertainties given. Some offset on antithetic fault strands. Event identified from geomorphic evidence and in outcrop.</t>
  </si>
  <si>
    <t>&lt;60000 years ago</t>
  </si>
  <si>
    <t>Age appears to be constrained from an OSL date of a moraine (Q4). Assumed calibrated age. No uncertainties given. Offset is on an antithetic fault strand. Event identified from geomorphologic evidence and in outcrop.</t>
  </si>
  <si>
    <t>Poutu transect 4, fault 4a</t>
  </si>
  <si>
    <t>Age appears to be constrained from an OSL date of a moraine (Q4). Assumed calibrated age. No uncertainties given. Some offset on an antithetic fault strand. Event identified from geomorphic evidence</t>
  </si>
  <si>
    <t>&lt;97000 years ago</t>
  </si>
  <si>
    <t>Age appears to have been constrained from the Waihohonu lava. Assumed calibrated age. No uncertainties given. Offset is on an antithetic fault strand. Event identified from geomorphic evidence</t>
  </si>
  <si>
    <t>Poutu transect 5, fault 4a</t>
  </si>
  <si>
    <t>&lt;15000 years ago</t>
  </si>
  <si>
    <t xml:space="preserve">Age appears to have been constrained using the age of the Tangatu debris fan. Assumed calibrated age. No uncertainties given. Some offset on  antithetic fault strands. Event identified from geomorphic evidence </t>
  </si>
  <si>
    <t>Age appears to be constrained from the age of the Mangahouhounui lava and  Waimarino debris fan. Assumed calibrated age. No uncertainties given. Offset is on an antithetic fault strand. Event identified from geomorphologic evidence</t>
  </si>
  <si>
    <t>Poutu transect 6, fault 6d</t>
  </si>
  <si>
    <t>&lt;3000 years ago</t>
  </si>
  <si>
    <t>Age appears to be constrained from an OSL age of a fan/colluvium unit. Assumed calibrated age. No uncertainties given. Offset is on an antithetic fault strand. Event identified from geomorphologic evidence</t>
  </si>
  <si>
    <t>Age appears to be constrained from an OSL date of a moraine (Q4), the Mangahouhounui lava and the Waimarino debris fan. Assumed calibrated age. No uncertainties given. Some offset is on antithetic fault strands. Event identified from geomorphologic evidence</t>
  </si>
  <si>
    <t>EQ3 (PE)</t>
  </si>
  <si>
    <t>&lt;110000 years ago</t>
  </si>
  <si>
    <t>Age appears to be constrained by the age of the Mangahouhounui lava.  No uncertainties given. Event identified from geomorphologic evidence</t>
  </si>
  <si>
    <t>Poutu transect 7, fault 7b</t>
  </si>
  <si>
    <t>Age appears to have been constrained using an OSL date of a moraine (Waihohonu moraine). Assumed to be a calibrated age. No uncertainties given. Some offset on antithetic fault strands. Event identified from geomorphic evidence.</t>
  </si>
  <si>
    <t>Age appears to be constrained from an OSL date of a moraine (Q4). Assumed calibrated age. No uncertainties given. Offset is on an antithetic fault strand. Event identified from geomorphologic evidence</t>
  </si>
  <si>
    <t>Poutu transect 8, fault 9a</t>
  </si>
  <si>
    <t>&lt;17700 years ago</t>
  </si>
  <si>
    <t xml:space="preserve">Age appears to have been constrained by the age of the Te Heuheu debris fan. Some offset on an antithetic fault strand. Assumed calibrated age. No uncertainties given.  Event identified from geomorphologic evidence. </t>
  </si>
  <si>
    <t>&lt;100000 years ago</t>
  </si>
  <si>
    <t>Age appears to be constrained using the age of the Mangahouhounui lava. Some offset on an antithetic fault strand. Assumed calibrated age. No uncertainties given.  Event identified from geomorphologic evidence</t>
  </si>
  <si>
    <t>Poutu transect 9, fault 7b</t>
  </si>
  <si>
    <t>&lt;10000 years ago</t>
  </si>
  <si>
    <t>Age appears to be constrained using the age of the Tangatu debris fan. Offset on an antithetic fault strand. Assumed calibrated age. No uncertainties given.  Event identified from geomorphologic evidence</t>
  </si>
  <si>
    <t xml:space="preserve">Age appears to have been constrained by the age of the Heuheu debris fan. Some offset on an antithetic fault strand. Assumed calibrated age. No uncertainties given.  Event identified from geomorphologic evidence. </t>
  </si>
  <si>
    <t>Gomez-Vasconcelos et al. (2017, 2019)</t>
  </si>
  <si>
    <t>Waihi transect 10, fault 5a</t>
  </si>
  <si>
    <t>&lt;20000 years ago</t>
  </si>
  <si>
    <t>Age appears to have been constrained using an OSL date of a moraine (Q2). Assumed to be a calibrated age. No uncertainties given. Event identified from geomorphic evidence</t>
  </si>
  <si>
    <t>&lt;200000 years ago</t>
  </si>
  <si>
    <t>Age appears to have been constrained using the age of the Tama Trig lava. Assumed to be a calibrated age. No uncertainties given. Event identified from geomorphic evidence</t>
  </si>
  <si>
    <t>Waihi transect 11, fault 5a</t>
  </si>
  <si>
    <t>&lt;25000 years ago</t>
  </si>
  <si>
    <t>Age appears to have been constrained using the age of the Makahikatoa lava. Assumed to be a calibrated age. No uncertainties given. Event identified from geomorphic evidence</t>
  </si>
  <si>
    <t>Waihi transect 12, fault 5a</t>
  </si>
  <si>
    <t>&lt;22000 years ago</t>
  </si>
  <si>
    <t>Age appears to have been constrained using the age of the Mangatepopo moraine. Assumed to be a calibrated age. No uncertainties given. Event identified from geomorphic evidence</t>
  </si>
  <si>
    <t>&lt;30600 years ago</t>
  </si>
  <si>
    <t>&lt;59000 years ago</t>
  </si>
  <si>
    <t>Age appears to have been constrained using the age of the Summit Formation lava. Assumed to be a calibrated age. No uncertainties given. Event identified from geomorphic evidence</t>
  </si>
  <si>
    <t>Waihi transect 13, fault 5a</t>
  </si>
  <si>
    <t>&lt;40000 years ago</t>
  </si>
  <si>
    <t>Age appears to have been constrained using the age of the North Crater lava/scoria. Assumed to be a calibrated age. No uncertainties given. Event identified from geomorphic evidence</t>
  </si>
  <si>
    <t>&lt;52600 years ago</t>
  </si>
  <si>
    <t>Age appears to have been constrained using on OSL age of the Mangatepopo Moraine. Assumed to be a calibrated age. No uncertainties given. Event identified from geomorphic evidence</t>
  </si>
  <si>
    <t>Waihi transect 14, fault 6b</t>
  </si>
  <si>
    <t>Waihi transect 15, fault 6b</t>
  </si>
  <si>
    <t>&lt;12000 years ago</t>
  </si>
  <si>
    <t>Age appears to have been constrained using the age of the Tangatu debris fan. Assumed to be a calibrated age. No uncertainties given. Event identified from geomorphic evidence</t>
  </si>
  <si>
    <t>Waihi transect 16, fault 6c</t>
  </si>
  <si>
    <t>Waihi transect 17, fault 1d</t>
  </si>
  <si>
    <t>Age appears to have been constrained using the age of fan sediments/colluvium. Assumed to be a calibrated age. No uncertainties given. Event identified from geomorphic evidence</t>
  </si>
  <si>
    <t>&lt;85000 years ago</t>
  </si>
  <si>
    <t>Age appears to have been constrained using the age of the Tongariro/Oturere lava. Assumed to be a calibrated age. No uncertainties given. Event identified from geomorphic evidence</t>
  </si>
  <si>
    <t>Kaiapo</t>
  </si>
  <si>
    <t>Te Mihi outcrop</t>
  </si>
  <si>
    <t>~5725</t>
  </si>
  <si>
    <t xml:space="preserve">The age of the youngest tephra displaced by the oldest event is divided by the number of events </t>
  </si>
  <si>
    <t>1718 years ago</t>
  </si>
  <si>
    <t>Linked to the early stages of the Taupo eruption. Intepreted to be related to volcanisms, therefore it is not used to calculate RI. Event displaces the base of the taupo eruption but does not displace the Taupo ignimbrite. Calibrated age. Two-sigma uncertainty</t>
  </si>
  <si>
    <t>10075-3410 years ago</t>
  </si>
  <si>
    <t>Minimum and maximum age bounds constrained using the Waimihi and Opepe tephra. Event evidence is overthicknening of sediments on the down-thrown side of the fault. Calibrated ages. Two-sigma uncertainty.</t>
  </si>
  <si>
    <t>11450-10075 years ago</t>
  </si>
  <si>
    <t>Minimum and maximum age bounds constrained using radiocarbon ages from the Karapiti and Opepe tephras respectively. Calibrated ages. Two-sigma uncertainty.</t>
  </si>
  <si>
    <t>Lilburn trench fault zone A</t>
  </si>
  <si>
    <t>3360-5000</t>
  </si>
  <si>
    <t>&lt;1718 years ago</t>
  </si>
  <si>
    <t>Maximum age is from a radiocarbon date from the Taupo tephra. Calibrated age. Two-sigma uncertainty</t>
  </si>
  <si>
    <t>2762-1718 years ago</t>
  </si>
  <si>
    <t xml:space="preserve">Maximimum and minimum ages constrained from radiocarbon dates of the Whakaipo and Taupo tephras respectively. Event identified from secondary faulting along in fault zone A, an unconformity in fault zone B, and offset in zone C. Calibrated ages. Two-sigma uncertainty. </t>
  </si>
  <si>
    <t>Maximum and minimum ages constrained from radiocarbon ages of the Waimihia and Opepe tephras respectively. Event evidence is an erosional unconformity in fault zone A and fault terminations in fault zone C. Calibrated ages. Two-sigma error.</t>
  </si>
  <si>
    <t>Argyll 1 trench</t>
  </si>
  <si>
    <t>3200-7500</t>
  </si>
  <si>
    <t>&gt;2400 years ago</t>
  </si>
  <si>
    <t>Minimum age of the event is constrained with a radiocarbon age of a stick recovered from unfaulted alluvium above deformed material. Event evidence is offset stratigraphy. Age calibrated using data from Stuiver and Reimer (1993). Two-sigma uncertainty</t>
  </si>
  <si>
    <t>10150-2400 years ago</t>
  </si>
  <si>
    <t>Event age is constrained by the age of the last  and oldest event. Event evidence is offset stratigraphy. Calibrated ages. Two-sigma uncertainty</t>
  </si>
  <si>
    <t>25000-12000 years ago</t>
  </si>
  <si>
    <t>Maximum age constrained from the Kawakawa tephra, which is intepreted to be below strata in the trench. Minimum age constrained with a radiocarbon age of a root extending into a unit above the event horizon and an estimate on when this aggradation surface stabilized.  Event evidence is an unconformity and warped stratigraphy. Age calibrated using data from Stuiver and Reimer (1993). Two sigma uncertainty.</t>
  </si>
  <si>
    <t>Argyll 2 trench</t>
  </si>
  <si>
    <t>Opapa 1 trench</t>
  </si>
  <si>
    <t>3400-7500</t>
  </si>
  <si>
    <t>&lt;1700 years ago</t>
  </si>
  <si>
    <t>Maximum age of the event constrained by the age of the Taupo pumice which is present in unfaulted soil above deformed material. Event evidence is offset stratigraphy. Age calibrated using data from Stuiver and Reimer (1993).  Two sigma uncertainty.</t>
  </si>
  <si>
    <t>25000-1700 years ago</t>
  </si>
  <si>
    <t>Age range constrained using the ages of the first and last events. Event evidence is offset stratigraphy. Calibrated ages. Two sigma uncertainty.</t>
  </si>
  <si>
    <t>Maximum age of the event constrained by the age of the kawakawa tephra, which is intepreted to be below strata observed in the trench. Ages calibrated using data from Stuiver et al. (1991). Two-sigma uncertainty.</t>
  </si>
  <si>
    <t>Poukawa trench</t>
  </si>
  <si>
    <t>7000-12000</t>
  </si>
  <si>
    <t>1931 AD</t>
  </si>
  <si>
    <t>12000-19 years ago</t>
  </si>
  <si>
    <t>Maximum age is constrained by a root radiocarbon age and intepretation of when the Poukawa surface stabilized. Minimum age is constrained by the timing of the last event. Earthquake evidence is folding and offset. Calibrated ages. Two sigma uncertainty.</t>
  </si>
  <si>
    <t>12000 - 25000 years ago</t>
  </si>
  <si>
    <t>Maximum age is constrained by the Kawakawa tephra. Minimum age constrained by a root radiocarbon age and intepretation of when the Poukawa surface stabilized. Earthquake evidence is folding. Calibrated ages. Two sigma uncertainty.</t>
  </si>
  <si>
    <t xml:space="preserve">EQ4 </t>
  </si>
  <si>
    <t>Maximum age constrained by the Kawakawa tephra. Event evidence is folding. Ages calibrated using data from Stuiver et al. (1991). Two-sigma uncertainty.</t>
  </si>
  <si>
    <t>3000-7000</t>
  </si>
  <si>
    <t>&lt; 15-20</t>
  </si>
  <si>
    <t>T04/2</t>
  </si>
  <si>
    <t>&lt;7000</t>
  </si>
  <si>
    <t>At least four events younger than 28200. Maximum RI</t>
  </si>
  <si>
    <t>15100-8090 years ago</t>
  </si>
  <si>
    <t>Minimum and maximum earthquake ages constrained using OSL ages of unfaulted unit 2c and the youngest faulted unit 2j respectively.  Assumed calibrated ages. Two-sigma uncertainty</t>
  </si>
  <si>
    <t>18400-12300 years ago</t>
  </si>
  <si>
    <t>Deposition of colluvial wedge (2gn). Minimum and maximum ages constrained using OSL ages above and below units 2gn. Assumed calibrated ages. Two-sigma uncertainty</t>
  </si>
  <si>
    <t>18400-15200 years ago</t>
  </si>
  <si>
    <t>Event evidence is a colluvial wedge. Minimum and maximum event ages constrained using OSL ages of units immediately above and below the wedge. Assumed calibrated ages. Two-sigma uncertainty</t>
  </si>
  <si>
    <t>20200 -16600 years ago</t>
  </si>
  <si>
    <t>Possible colluvial wedge, low confidence. Minimum and maximum ages constrained by OSL dating of units below and above the inferred wedge unit. Assumed calibrated ages. Two-sigma uncertainty.</t>
  </si>
  <si>
    <t>28200-17000 years ago</t>
  </si>
  <si>
    <t>Event evidence from faulting and colluvial wedge. Possibly two events within this interval. Event age constraints from OSL dating of units below and above the truncation of faults and colluvial wedge. Assumed calibrated ages. Two-sigma error.</t>
  </si>
  <si>
    <t>T06/8a</t>
  </si>
  <si>
    <t>17300-12100 years ago</t>
  </si>
  <si>
    <t>Minimum and maximum ages constrained using OSL ages from an unfaulted unit (2) and the youngest faulted unit (3be). Assumed calibrated age. Two-sigma uncertainty</t>
  </si>
  <si>
    <t>T05/3</t>
  </si>
  <si>
    <t>&lt;18400 years ago</t>
  </si>
  <si>
    <t>Maximum age for &gt; 1 earthquake constrained by an OSL date of the youngest unit (2) that shows evidence for offset. This unit is offset by numerous faults that terminate at different levels and there is likely more than one event that has occurred since this time. Two-sigma uncertainty</t>
  </si>
  <si>
    <t>T06/1</t>
  </si>
  <si>
    <t>&gt; ca. 20000 years ago</t>
  </si>
  <si>
    <t>Minimum earthquake age bound from OSL dates of undeformed units. Assumed calibrated age. Two-sigma error.</t>
  </si>
  <si>
    <t>T06/2</t>
  </si>
  <si>
    <t>&gt;50500 years ago</t>
  </si>
  <si>
    <t>Maximum age from an OSL date of unfaulted unit (2). Assumed calibrated age. Two-sigma uncertainty.</t>
  </si>
  <si>
    <t>T06/3</t>
  </si>
  <si>
    <t>&gt;7220</t>
  </si>
  <si>
    <t>Minimum age constrained using an OSL sample from unfaulted sediments above fault scarp (below trench floor). Assumed calibrated age. Two-sigma uncertainty</t>
  </si>
  <si>
    <t>6000-12000</t>
  </si>
  <si>
    <t>2-3 surface ruptures within the last 20-22 ka period. Two-sigma uncertainty</t>
  </si>
  <si>
    <t>T99/5</t>
  </si>
  <si>
    <t>&lt;10000-12000</t>
  </si>
  <si>
    <t>At least two events in 22000 years</t>
  </si>
  <si>
    <t>&lt;14000 years ago</t>
  </si>
  <si>
    <t>T00/3</t>
  </si>
  <si>
    <t>&lt; 10000</t>
  </si>
  <si>
    <t>At least two events in c. 21000 years</t>
  </si>
  <si>
    <t>13000 years ago</t>
  </si>
  <si>
    <t>T01/1 (Pinetrees trench)</t>
  </si>
  <si>
    <t>&gt;13100 years ago</t>
  </si>
  <si>
    <t>T99/04</t>
  </si>
  <si>
    <t>&lt; 8200-23000 years ago</t>
  </si>
  <si>
    <t xml:space="preserve">Sinistral </t>
  </si>
  <si>
    <t>6000-10000</t>
  </si>
  <si>
    <t>Average calculated from RI information from T99/2, T97/1, and T99/9</t>
  </si>
  <si>
    <t>T93/2</t>
  </si>
  <si>
    <t>Maximum age constrained using the TSL age of the deformed unit 3a. Assumed calibrated age. Two-sigma uncertainty</t>
  </si>
  <si>
    <t>T99/2</t>
  </si>
  <si>
    <t>&lt; c.14500</t>
  </si>
  <si>
    <t>≥1</t>
  </si>
  <si>
    <t>At least two surface ruptures in the last c. 29 ka</t>
  </si>
  <si>
    <t>&lt;28800 years ago</t>
  </si>
  <si>
    <t>Maximum age constrained using an OSL and TL dates from the youngest deformed unit (3e). Assumed calibrated ages. Two-sigma uncertainty</t>
  </si>
  <si>
    <t>T97/1</t>
  </si>
  <si>
    <t>&lt;8000-10000</t>
  </si>
  <si>
    <t>&gt;3</t>
  </si>
  <si>
    <t>Ar least three events in the last 22.6 ka</t>
  </si>
  <si>
    <t>&lt;19700 years ago</t>
  </si>
  <si>
    <t>Maximum age constraind using a OSL and TL ages on from unit 3h which is intepreted to have hosted at least two events. Assumed calibrated age. Two-sigma uncertainty. Event evidence is folding and unconformities</t>
  </si>
  <si>
    <t>Maximum age constraind using a OSL and TL ages on from unit 3h which is intepreted to have hosted at least two events. Assumed calibrated age. Two-sigma uncertainty.</t>
  </si>
  <si>
    <t>&lt;22600 years ago</t>
  </si>
  <si>
    <t>Maximum age constrained using a TL date on quartz from faulted unit 3j. Assumed calibrated age. Two-sigma uncertainty</t>
  </si>
  <si>
    <t>T99/1a and 1b</t>
  </si>
  <si>
    <t>&lt;19000 years ago</t>
  </si>
  <si>
    <t>Maximum ages constrained from and OSL and TL dates from quartz in unit 3a which is the youngest unit that displays evidence of deformation (rapid thickening). Assumed calibrated age. Two-sigma uncertainty</t>
  </si>
  <si>
    <t>T99/9</t>
  </si>
  <si>
    <t>6000-8000</t>
  </si>
  <si>
    <t>RI calculated using at least two events faulting unit 3j in 13.2-16 ka</t>
  </si>
  <si>
    <t>&lt;16000 years ago</t>
  </si>
  <si>
    <t>Maximum age from an OSL of faulted unit 3j. Assumed calibrated age. Two-sigma uncertainty</t>
  </si>
  <si>
    <t>T99/6</t>
  </si>
  <si>
    <t>3000-10700 years ago</t>
  </si>
  <si>
    <t>Minimum and maximum age bounds from OSL and TL ages of unfaulted unit 2a and faulted unit 3a. Assumed calibrated ages. Two-sigma uncertainty</t>
  </si>
  <si>
    <t>Olivia Mark and Pilar Villamor (unpublished data 2021)</t>
  </si>
  <si>
    <t>McDowell trench</t>
  </si>
  <si>
    <t>Other trace</t>
  </si>
  <si>
    <t>GIS_Point_N 5</t>
  </si>
  <si>
    <t>GIS_Point_N 20</t>
  </si>
  <si>
    <t>GIS_Point_N 21</t>
  </si>
  <si>
    <t>GIS_Point_N 22</t>
  </si>
  <si>
    <t>GIS_Point_N 19</t>
  </si>
  <si>
    <t>Omeheu</t>
  </si>
  <si>
    <t>0.25 (0.21-0.28)</t>
  </si>
  <si>
    <t>Omeh2_1</t>
  </si>
  <si>
    <t>1.7 ± 0.14</t>
  </si>
  <si>
    <t>8.01 ± 0.05</t>
  </si>
  <si>
    <t>From unpublished Braemar trench. Redeposited Rotoma Ash.</t>
  </si>
  <si>
    <t>2.0 (1.3-3.1)</t>
  </si>
  <si>
    <t>No CFM fault</t>
  </si>
  <si>
    <t>Combined Aitken and Dalmer</t>
  </si>
  <si>
    <t>13.88 (4.99-9.32)</t>
  </si>
  <si>
    <t>Weathering Rind age using Knuepfer's equation and a modal value</t>
  </si>
  <si>
    <t>Alpine: George to Jacksons</t>
  </si>
  <si>
    <t>Alpine: Kaniere to Springs Junction</t>
  </si>
  <si>
    <t>Alpine: Jacksons to Kaniere</t>
  </si>
  <si>
    <t>Alpine: Resolution - Dagg</t>
  </si>
  <si>
    <t>Alpine: Springs Junction to Tophouse</t>
  </si>
  <si>
    <t xml:space="preserve">Awatere: Northeast 1 </t>
  </si>
  <si>
    <t>Awatere: Northeast 2</t>
  </si>
  <si>
    <t>Awatere: Southwest</t>
  </si>
  <si>
    <t>Clarence: Central</t>
  </si>
  <si>
    <t>Clarence: Northeast</t>
  </si>
  <si>
    <t>Clarence: Southwest</t>
  </si>
  <si>
    <t>Ben McLeod</t>
  </si>
  <si>
    <t>Hope: Conway</t>
  </si>
  <si>
    <t>Hope: Hope River</t>
  </si>
  <si>
    <t>Hope: Seaward</t>
  </si>
  <si>
    <t>Dry River - Huangarua: 2</t>
  </si>
  <si>
    <t>Kerepehi Te Poi</t>
  </si>
  <si>
    <t>Kerepehi Elstow</t>
  </si>
  <si>
    <t>Kerepehi Okoroire</t>
  </si>
  <si>
    <t>Kerepehi Waitoa</t>
  </si>
  <si>
    <t>Mohaka: North</t>
  </si>
  <si>
    <t>Waimana: South</t>
  </si>
  <si>
    <t>Assigned as a portion of Mohaka: North rate</t>
  </si>
  <si>
    <t>Mohaka: South</t>
  </si>
  <si>
    <t>Ngakukru</t>
  </si>
  <si>
    <t>Leader: North</t>
  </si>
  <si>
    <t>Pukerua - Shepherds Gully: 3</t>
  </si>
  <si>
    <t>Ruahine: Central</t>
  </si>
  <si>
    <t xml:space="preserve">Ruahine: North </t>
  </si>
  <si>
    <t>Hohonu: South</t>
  </si>
  <si>
    <t>Assigned the same as the Makuri-Waewaepa</t>
  </si>
  <si>
    <t>Waimana: North</t>
  </si>
  <si>
    <t>Waiohau: North</t>
  </si>
  <si>
    <t>Wairarapa: 2</t>
  </si>
  <si>
    <t>Wairarapa: 3</t>
  </si>
  <si>
    <t>Wellington Hutt Valley: 3</t>
  </si>
  <si>
    <t>Wellington Hutt Valley: 4</t>
  </si>
  <si>
    <t>Wellington Hutt Valley: 5</t>
  </si>
  <si>
    <t>Wellington: Pahiatua</t>
  </si>
  <si>
    <t>Whakatane: North</t>
  </si>
  <si>
    <t>Whakatane: South</t>
  </si>
  <si>
    <t>160  ± 20</t>
  </si>
  <si>
    <t>1100 ± 20</t>
  </si>
  <si>
    <t>Alpine: Caswell - South George</t>
  </si>
  <si>
    <t>Dextral and reverse</t>
  </si>
  <si>
    <t>20 ± 20</t>
  </si>
  <si>
    <t>45 (40-55)</t>
  </si>
  <si>
    <t>Normal and Dextral</t>
  </si>
  <si>
    <t>-135 ± 20</t>
  </si>
  <si>
    <t>Dextral and Reverse</t>
  </si>
  <si>
    <t>0.18 (0.06-0.36)</t>
  </si>
  <si>
    <t>1.26 (1.06-1.38)</t>
  </si>
  <si>
    <t>0.81 (0.7-0.92)</t>
  </si>
  <si>
    <t>0.169 (0.1-0.31)</t>
  </si>
  <si>
    <t>From Langridge 2021 CFM compilation</t>
  </si>
  <si>
    <t>From Langridge 2020 CFM compilation and consistent with site data</t>
  </si>
  <si>
    <r>
      <t xml:space="preserve">-110 </t>
    </r>
    <r>
      <rPr>
        <sz val="10"/>
        <color theme="1"/>
        <rFont val="Calibri"/>
        <family val="2"/>
      </rPr>
      <t>± 20</t>
    </r>
  </si>
  <si>
    <t>From Ghisetti 2020 CFM compilation and consistent with low quality site data</t>
  </si>
  <si>
    <t>Townsend et al. (In prep.) - South Auckland Geomorphology Map</t>
  </si>
  <si>
    <t>Lensen, G.J. 1969a Late Quaternary tectonic map of New Zealand, Sheet N153, Eketahuna. Scale 1:63,360. Wellington: Department of Scientific and Industrial Research. Late Quaternary tectonic map of New Zealand 1:63,360 N153. 1 map</t>
  </si>
  <si>
    <t>Measurement from Lensen (1969a). Preferred value is midpoint of range.</t>
  </si>
  <si>
    <r>
      <t>Barnes, P.M. 2009 Postglacial (after 20 ka) dextral slip rate of the offshore Alpine fault, New Zealand.</t>
    </r>
    <r>
      <rPr>
        <i/>
        <sz val="10"/>
        <rFont val="Calibri"/>
        <family val="2"/>
        <scheme val="minor"/>
      </rPr>
      <t> Geology, 37(1): </t>
    </r>
    <r>
      <rPr>
        <sz val="10"/>
        <rFont val="Calibri"/>
        <family val="2"/>
        <scheme val="minor"/>
      </rPr>
      <t>3-6; doi: 10.1130/G24764A.1</t>
    </r>
  </si>
  <si>
    <r>
      <t>Barrell, D.J.A.; Litchfield, N.J.; Van Dissen, R.J.; Wang, N.; Taylor Silva, B.I.; Hornblow, S.; Stirling, M.W. 2020 Investigations of past earthquakes on the Titri Fault, coastal Otago, New Zealand. Lower Hutt, N.Z.: GNS Science. </t>
    </r>
    <r>
      <rPr>
        <i/>
        <sz val="10"/>
        <rFont val="Calibri"/>
        <family val="2"/>
        <scheme val="minor"/>
      </rPr>
      <t>GNS Science report 2017/35.</t>
    </r>
    <r>
      <rPr>
        <sz val="10"/>
        <rFont val="Calibri"/>
        <family val="2"/>
        <scheme val="minor"/>
      </rPr>
      <t> 66 p.; doi: 10.21420/G2TW6S</t>
    </r>
  </si>
  <si>
    <t>Barrow-Hurlbert, S.A. 1985 Geology and neotectonics of the upper Nevis Basin, South Island, New Zealand. MSc (Geology) thesis, Oregon State University. 161 p</t>
  </si>
  <si>
    <r>
      <t>Beanland, S.; Berryman, K.R. 1987 Ruahine Fault reconnaissance. Lower Hutt: New Zealand Geological Survey. </t>
    </r>
    <r>
      <rPr>
        <i/>
        <sz val="10"/>
        <rFont val="Calibri"/>
        <family val="2"/>
        <scheme val="minor"/>
      </rPr>
      <t>New Zealand Geological Survey report EDS 109.</t>
    </r>
    <r>
      <rPr>
        <sz val="10"/>
        <rFont val="Calibri"/>
        <family val="2"/>
        <scheme val="minor"/>
      </rPr>
      <t> 15 p.</t>
    </r>
  </si>
  <si>
    <r>
      <t>Begg, J.G.; Mouslopoulou, V. 2010 Analysis of late Holocene faulting within an active rift using lidar, Taupo Rift, New Zealand.</t>
    </r>
    <r>
      <rPr>
        <i/>
        <sz val="10"/>
        <rFont val="Calibri"/>
        <family val="2"/>
        <scheme val="minor"/>
      </rPr>
      <t> Journal of Volcanology and Geothermal Research, 190(1/2): </t>
    </r>
    <r>
      <rPr>
        <sz val="10"/>
        <rFont val="Calibri"/>
        <family val="2"/>
        <scheme val="minor"/>
      </rPr>
      <t>152-167; doi: 10.1016/j.jvolgeores.2009.06.001</t>
    </r>
  </si>
  <si>
    <r>
      <t>Berryman, K.R.; Beanland, S.; Wesnousky, S. 1998 Paleoseismicity of the Rotoitipakau Fault Zone, a complex normal fault in the Taupo Volcanic Zone, New Zealand.</t>
    </r>
    <r>
      <rPr>
        <i/>
        <sz val="10"/>
        <rFont val="Calibri"/>
        <family val="2"/>
        <scheme val="minor"/>
      </rPr>
      <t> New Zealand Journal of Geology and Geophysics, 41(4): </t>
    </r>
    <r>
      <rPr>
        <sz val="10"/>
        <rFont val="Calibri"/>
        <family val="2"/>
        <scheme val="minor"/>
      </rPr>
      <t>449-465; doi: 10.1080/00288306.1998.9514822</t>
    </r>
  </si>
  <si>
    <r>
      <t>Berryman, K.R.; Cooper, A.; Norris, R.; Villamor, P.; Sutherland, R.; Wright, T.; Schermer, E.; Langridge, R.M.; Biasi, G. 2012b Late Holocene rupture history of the Alpine Fault in South Westland, New Zealand.</t>
    </r>
    <r>
      <rPr>
        <i/>
        <sz val="10"/>
        <rFont val="Calibri"/>
        <family val="2"/>
        <scheme val="minor"/>
      </rPr>
      <t> Bulletin of the Seismological Society of America, 102(2): </t>
    </r>
    <r>
      <rPr>
        <sz val="10"/>
        <rFont val="Calibri"/>
        <family val="2"/>
        <scheme val="minor"/>
      </rPr>
      <t>620-638; doi: 10.1785/0120110177</t>
    </r>
  </si>
  <si>
    <r>
      <t>Berryman, K.R.; Ota, Y.; Miyauchi, T.; Hull, A.; Clark, K.J.; Ishibashi, K.; Iso, N.; Litchfield, N.J. 2011 Holocene paleoseismic history of upper-plate faults in the southern Hikurangi subduction margin, New Zealand, deduced from marine terrace records.</t>
    </r>
    <r>
      <rPr>
        <i/>
        <sz val="10"/>
        <rFont val="Calibri"/>
        <family val="2"/>
        <scheme val="minor"/>
      </rPr>
      <t> Bulletin of the Seismological Society of America, 101(5): </t>
    </r>
    <r>
      <rPr>
        <sz val="10"/>
        <rFont val="Calibri"/>
        <family val="2"/>
        <scheme val="minor"/>
      </rPr>
      <t>2064-2087; doi: 10.1785/0120100282</t>
    </r>
  </si>
  <si>
    <r>
      <t>Berryman, K.R.; Villamor, P. 2004 Surface rupture of the Poulter Fault in the 1929 March 9 Arthur's Pass earthquake, and redefinition of the Kakapo Fault, New Zealand.</t>
    </r>
    <r>
      <rPr>
        <i/>
        <sz val="10"/>
        <rFont val="Calibri"/>
        <family val="2"/>
        <scheme val="minor"/>
      </rPr>
      <t> New Zealand Journal of Geology and Geophysics, 47(2): </t>
    </r>
    <r>
      <rPr>
        <sz val="10"/>
        <rFont val="Calibri"/>
        <family val="2"/>
        <scheme val="minor"/>
      </rPr>
      <t>341-351; doi: 10.1080/00288306.2004.9515060</t>
    </r>
  </si>
  <si>
    <t>Chandler-Yates, N. 2016 Active tectonic and paleoseismic investigation of the lower Mikonui Valley in Westland, New Zealand. MSc (Engineering Geology) thesis, University of Canterbury. 97 p.</t>
  </si>
  <si>
    <t>Davis, K.; Burbank, D.W.; Fisher, D.; Wallace, S.; Nobes, D. 2005 Thrust-fault growth and segment linkage in the active Ostler fault zone, New Zealand. Journal of Structural Geology, 27(8): 1528-1546</t>
  </si>
  <si>
    <r>
      <t>De Pascale, G.P.; Chandler-Yates, N.; Dela Pena, F.; Wilson, P.; May, E.; Twiss, A.; Cheng, C. 2016 Active tectonics west of New Zealand's Alpine Fault : South Westland Fault Zone activity shows Australian Plate instability.</t>
    </r>
    <r>
      <rPr>
        <i/>
        <sz val="10"/>
        <rFont val="Calibri"/>
        <family val="2"/>
        <scheme val="minor"/>
      </rPr>
      <t> Geophysical Research Letters, 43(7): </t>
    </r>
    <r>
      <rPr>
        <sz val="10"/>
        <rFont val="Calibri"/>
        <family val="2"/>
        <scheme val="minor"/>
      </rPr>
      <t>3120-3125; doi: 10.1002/2016GL068233</t>
    </r>
  </si>
  <si>
    <t>Gore, E.S. 2015 Tectonic geomorphology and paleoseismology of the Lees Valley fault zone, South Island. MSc (Geology) thesis, University of Canterbury. xiv, 152 p</t>
  </si>
  <si>
    <r>
      <t>Grapes, R.H. 1991 Aggradation surfaces and implications for displacement rates along the Wairarapa Fault, southern North Island, New Zealand.</t>
    </r>
    <r>
      <rPr>
        <i/>
        <sz val="10"/>
        <rFont val="Calibri"/>
        <family val="2"/>
        <scheme val="minor"/>
      </rPr>
      <t> Catena, 18(5): </t>
    </r>
    <r>
      <rPr>
        <sz val="10"/>
        <rFont val="Calibri"/>
        <family val="2"/>
        <scheme val="minor"/>
      </rPr>
      <t>453-469</t>
    </r>
  </si>
  <si>
    <t>Hanson, J.A. 1998 The neotectonics of the Wellington and Ruahine Faults between the Manawatu Gorge and Puketitiri, North Island, New Zealand. PhD thesis, Massey University.</t>
  </si>
  <si>
    <r>
      <t>Howarth, J.D.; Cochran, U.A.; Langridge, R.M.; Clark, K.J.; Fitzsimons, S.J.; Berryman, K.R.; Villamor, P.; Strong, D.T. 2018 Past large earthquakes on the Alpine Fault : paleoseismological progress and future directions.</t>
    </r>
    <r>
      <rPr>
        <i/>
        <sz val="10"/>
        <rFont val="Calibri"/>
        <family val="2"/>
        <scheme val="minor"/>
      </rPr>
      <t> New Zealand Journal of Geology and Geophysics, 61(3): </t>
    </r>
    <r>
      <rPr>
        <sz val="10"/>
        <rFont val="Calibri"/>
        <family val="2"/>
        <scheme val="minor"/>
      </rPr>
      <t>309-328; doi: 10.1080/00288306.2018.1464658</t>
    </r>
  </si>
  <si>
    <r>
      <t>Howarth, J.D.; Fitzsimons, S.J.; Norris, R.J.; Jacobsen, G.E. 2012 Lake sediments record cycles of sediment driven by large earthquakes on the Alpine Fault, New Zealand.</t>
    </r>
    <r>
      <rPr>
        <i/>
        <sz val="10"/>
        <rFont val="Calibri"/>
        <family val="2"/>
        <scheme val="minor"/>
      </rPr>
      <t> Geology, 40(12): </t>
    </r>
    <r>
      <rPr>
        <sz val="10"/>
        <rFont val="Calibri"/>
        <family val="2"/>
        <scheme val="minor"/>
      </rPr>
      <t>1091-1094; doi: 10.1130/G33486.1</t>
    </r>
  </si>
  <si>
    <r>
      <t>Hull, A.G. 1994 Past earthquake timing and magnitude along the Inglewood Fault, Taranaki, New Zealand.</t>
    </r>
    <r>
      <rPr>
        <i/>
        <sz val="10"/>
        <rFont val="Calibri"/>
        <family val="2"/>
        <scheme val="minor"/>
      </rPr>
      <t> Bulletin of the New Zealand National Society for Earthquake Engineering, 27(2): </t>
    </r>
    <r>
      <rPr>
        <sz val="10"/>
        <rFont val="Calibri"/>
        <family val="2"/>
        <scheme val="minor"/>
      </rPr>
      <t>155-162</t>
    </r>
  </si>
  <si>
    <t>Ian R Brown Associates Ltd 1995 An investigation of latest displacement events on the Wellington Fault in the Lower Hutt area. Wellington, N.Z.: Ian R Brown Associates Ltd. 16 p. + figs + appendix</t>
  </si>
  <si>
    <r>
      <t>Knuepfer, P.L.K. 1988 Estimating ages of late Quaternary stream terraces from analysis of weathering rinds and soils.</t>
    </r>
    <r>
      <rPr>
        <i/>
        <sz val="10"/>
        <rFont val="Calibri"/>
        <family val="2"/>
        <scheme val="minor"/>
      </rPr>
      <t> Geological Society of America Bulletin, 100: </t>
    </r>
    <r>
      <rPr>
        <sz val="10"/>
        <rFont val="Calibri"/>
        <family val="2"/>
        <scheme val="minor"/>
      </rPr>
      <t>1224-1236</t>
    </r>
  </si>
  <si>
    <r>
      <t>Langridge, R.M.; Berryman, K.R.; Van Dissen, R.J. 2005 Defining the geometric segmentation and Holocene slip rate of the Wellington Fault, New Zealand : the Pahiatua section.</t>
    </r>
    <r>
      <rPr>
        <i/>
        <sz val="10"/>
        <rFont val="Calibri"/>
        <family val="2"/>
        <scheme val="minor"/>
      </rPr>
      <t> New Zealand Journal of Geology and Geophysics, 48(4): </t>
    </r>
    <r>
      <rPr>
        <sz val="10"/>
        <rFont val="Calibri"/>
        <family val="2"/>
        <scheme val="minor"/>
      </rPr>
      <t>591-607; doi: 10.1080/00288306.2005.9515136</t>
    </r>
  </si>
  <si>
    <r>
      <t>Langridge, R.M.; Howarth, J.D. 2018 A new paradigm for Alpine Fault paleoseismicity : the northern section of the Alpine Fault. Lower Hutt, N.Z.: GNS Science. </t>
    </r>
    <r>
      <rPr>
        <i/>
        <sz val="10"/>
        <rFont val="Calibri"/>
        <family val="2"/>
        <scheme val="minor"/>
      </rPr>
      <t>GNS Science miscellaneous series 121.</t>
    </r>
    <r>
      <rPr>
        <sz val="10"/>
        <rFont val="Calibri"/>
        <family val="2"/>
        <scheme val="minor"/>
      </rPr>
      <t> 49 p.; doi: 10.21420/G2WS9H</t>
    </r>
  </si>
  <si>
    <r>
      <t>Langridge, R.M.; Ries, W.F. 2014 Active fault mapping and fault avoidance zones for Central Hawkes Bay District : 2013 update. </t>
    </r>
    <r>
      <rPr>
        <i/>
        <sz val="10"/>
        <rFont val="Calibri"/>
        <family val="2"/>
        <scheme val="minor"/>
      </rPr>
      <t>GNS Science consultancy report 2013/151.</t>
    </r>
    <r>
      <rPr>
        <sz val="10"/>
        <rFont val="Calibri"/>
        <family val="2"/>
        <scheme val="minor"/>
      </rPr>
      <t> 50 p. + 1 CD</t>
    </r>
  </si>
  <si>
    <r>
      <t>Langridge, R.M.; Villamor, P.; Basili, R.; Almond, P.; Martinez-Diaz, J.J.; Canora, C. 2010 Revised slip rates for the Alpine Fault at Inchbonnie : implications for plate boundary kinematics of South Island, New Zealand.</t>
    </r>
    <r>
      <rPr>
        <i/>
        <sz val="10"/>
        <rFont val="Calibri"/>
        <family val="2"/>
        <scheme val="minor"/>
      </rPr>
      <t> Lithosphere, 2(3): </t>
    </r>
    <r>
      <rPr>
        <sz val="10"/>
        <rFont val="Calibri"/>
        <family val="2"/>
        <scheme val="minor"/>
      </rPr>
      <t>139-152; doi: 10.1130/L88.1</t>
    </r>
  </si>
  <si>
    <r>
      <t>Lee, J.M.; Begg, J.G. (comps) 2002 Geology of the Wairarapa area : scale 1:250,000. Lower Hutt: Institute of Geological &amp; Nuclear Sciences Limited. </t>
    </r>
    <r>
      <rPr>
        <i/>
        <sz val="10"/>
        <rFont val="Calibri"/>
        <family val="2"/>
        <scheme val="minor"/>
      </rPr>
      <t>Institute of Geological &amp; Nuclear Sciences 1:250,000 geological map 11.</t>
    </r>
    <r>
      <rPr>
        <sz val="10"/>
        <rFont val="Calibri"/>
        <family val="2"/>
        <scheme val="minor"/>
      </rPr>
      <t xml:space="preserve"> 66 p. + 1 fold. </t>
    </r>
  </si>
  <si>
    <r>
      <t>Leonard, G.S.; Begg, J.G.; Wilson, C.J.N. (comps) 2010 Geology of the Rotorua area : scale 1:250,000. Lower Hutt: GNS Science. </t>
    </r>
    <r>
      <rPr>
        <i/>
        <sz val="10"/>
        <rFont val="Calibri"/>
        <family val="2"/>
        <scheme val="minor"/>
      </rPr>
      <t>Institute of Geological &amp; Nuclear Sciences 1:250,000 geological map 5.</t>
    </r>
    <r>
      <rPr>
        <sz val="10"/>
        <rFont val="Calibri"/>
        <family val="2"/>
        <scheme val="minor"/>
      </rPr>
      <t> 102 p. + 1 folded map</t>
    </r>
  </si>
  <si>
    <t>Litchfield, N.J.; Bland, K.J.; Hayward, B.; Page, M.J.; Langridge, R.M. 2005 New Zealand Friends of the Quaternary fieldtrip, Hawke's Bay, 1-3 July, 2005. Wellington: Geological Society of New Zealand. Electronic document</t>
  </si>
  <si>
    <r>
      <t>Litchfield, N.J.; Nicol, A.; Clark, K.J.; Langridge, R.M.; Reyes, A.G. 2011 IODP Workshop on Using Ocean Drilling to Unlock the Secrets of Slow Slip Events : workshop field trip guide, 4-5 August 2011, Gisborne, New Zealand. Lower Hutt: GNS Science. </t>
    </r>
    <r>
      <rPr>
        <i/>
        <sz val="10"/>
        <rFont val="Calibri"/>
        <family val="2"/>
        <scheme val="minor"/>
      </rPr>
      <t>GNS Science miscellaneous series 40.</t>
    </r>
    <r>
      <rPr>
        <sz val="10"/>
        <rFont val="Calibri"/>
        <family val="2"/>
        <scheme val="minor"/>
      </rPr>
      <t> 73 p.</t>
    </r>
  </si>
  <si>
    <r>
      <t>Litchfield, N.J.; Van Dissen, R.J.; Nicol, A. 2007 Reassessment of slip rate and implications for surface rupture hazard of the Martinborough Fault, south Wairarapa, New Zealand.</t>
    </r>
    <r>
      <rPr>
        <i/>
        <sz val="10"/>
        <rFont val="Calibri"/>
        <family val="2"/>
        <scheme val="minor"/>
      </rPr>
      <t> New Zealand Journal of Geology and Geophysics, 50(3): </t>
    </r>
    <r>
      <rPr>
        <sz val="10"/>
        <rFont val="Calibri"/>
        <family val="2"/>
        <scheme val="minor"/>
      </rPr>
      <t>239-243; doi: 10.1080/00288300709509834</t>
    </r>
  </si>
  <si>
    <r>
      <t>Little, T.A.; Van Dissen, R.J.; Kearse, J.; Norton, K.; Benson, A.; Wang, N. 2018 Kekerengu Fault, New Zealand : timing and size of Late Holocene surface ruptures.</t>
    </r>
    <r>
      <rPr>
        <i/>
        <sz val="10"/>
        <rFont val="Calibri"/>
        <family val="2"/>
        <scheme val="minor"/>
      </rPr>
      <t> Bulletin of the Seismological Society of America, 108(3B): </t>
    </r>
    <r>
      <rPr>
        <sz val="10"/>
        <rFont val="Calibri"/>
        <family val="2"/>
        <scheme val="minor"/>
      </rPr>
      <t>1556-1572; doi: 10.1785/0120170152</t>
    </r>
  </si>
  <si>
    <r>
      <t>Little, T.A.; Van Dissen, R.J.; Rieser, U.; Smith, E.G.C.; Langridge, R.M. 2010 Coseismic strike slip at a point during the last four earthquakes on the Wellington Fault near Wellington, New Zealand.</t>
    </r>
    <r>
      <rPr>
        <i/>
        <sz val="10"/>
        <rFont val="Calibri"/>
        <family val="2"/>
        <scheme val="minor"/>
      </rPr>
      <t> Journal of Geophysical Research. Solid Earth, 115: </t>
    </r>
    <r>
      <rPr>
        <sz val="10"/>
        <rFont val="Calibri"/>
        <family val="2"/>
        <scheme val="minor"/>
      </rPr>
      <t>B05403; doi: 10.1029/2009JB006589</t>
    </r>
  </si>
  <si>
    <r>
      <t>Little, T.A.; Van Dissen, R.J.; Schermer, E.; Carne, R. 2009 Late Holocene surface ruptures on the southern Wairarapa fault, New Zealand : link between earthquakes and the uplifting of beach ridges on a rocky coast.</t>
    </r>
    <r>
      <rPr>
        <i/>
        <sz val="10"/>
        <rFont val="Calibri"/>
        <family val="2"/>
        <scheme val="minor"/>
      </rPr>
      <t> Lithosphere, 1(1): </t>
    </r>
    <r>
      <rPr>
        <sz val="10"/>
        <rFont val="Calibri"/>
        <family val="2"/>
        <scheme val="minor"/>
      </rPr>
      <t>4-28; doi: 10.1130/L7.1</t>
    </r>
  </si>
  <si>
    <r>
      <t>Marden, M.; Neall, V.E. 1990 Dated Ohakean terraces offset by the Wellington Fault, near Woodville, New Zealand.</t>
    </r>
    <r>
      <rPr>
        <i/>
        <sz val="10"/>
        <rFont val="Calibri"/>
        <family val="2"/>
        <scheme val="minor"/>
      </rPr>
      <t> New Zealand Journal of Geology and Geophysics, 33(3): </t>
    </r>
    <r>
      <rPr>
        <sz val="10"/>
        <rFont val="Calibri"/>
        <family val="2"/>
        <scheme val="minor"/>
      </rPr>
      <t>449-453; doi: 10.1080/00288306.1990.10425700</t>
    </r>
  </si>
  <si>
    <r>
      <t>Mason, D.P.M.; Little, T.A. 2006 Refined slip distribution and moment magnitude of the 1848 Marlborough earthquake, Awatere Fault, New Zealand.</t>
    </r>
    <r>
      <rPr>
        <i/>
        <sz val="10"/>
        <rFont val="Calibri"/>
        <family val="2"/>
        <scheme val="minor"/>
      </rPr>
      <t> New Zealand Journal of Geology and Geophysics, 49(3): </t>
    </r>
    <r>
      <rPr>
        <sz val="10"/>
        <rFont val="Calibri"/>
        <family val="2"/>
        <scheme val="minor"/>
      </rPr>
      <t>375-382; doi: 10.1080/00288306.2006.9515174</t>
    </r>
  </si>
  <si>
    <r>
      <t>Nicol, A.; Robinson, R.; Van Dissen, R.J.; Harvison, A. 2016 Variability of recurrence interval and single-event slip for surface-rupturing earthquakes in New Zealand.</t>
    </r>
    <r>
      <rPr>
        <i/>
        <sz val="10"/>
        <rFont val="Calibri"/>
        <family val="2"/>
        <scheme val="minor"/>
      </rPr>
      <t> New Zealand Journal of Geology and Geophysics, 59(1): </t>
    </r>
    <r>
      <rPr>
        <sz val="10"/>
        <rFont val="Calibri"/>
        <family val="2"/>
        <scheme val="minor"/>
      </rPr>
      <t>97-116; doi: 10.1080/00288306.2015.1127822</t>
    </r>
  </si>
  <si>
    <r>
      <t>Ninis, D.; Little, T.A.; Van Dissen, R.J.; Litchfield, N.J.; Smith, E.G.C.; Wang, N.; Rieser, U.; Henderson, C.M. 2013 Slip rate on the Wellington fault, New Zealand, during the Late Quaternary : evidence for variable slip during the Holocene.</t>
    </r>
    <r>
      <rPr>
        <i/>
        <sz val="10"/>
        <rFont val="Calibri"/>
        <family val="2"/>
        <scheme val="minor"/>
      </rPr>
      <t> Bulletin of the Seismological Society of America, 103(1): </t>
    </r>
    <r>
      <rPr>
        <sz val="10"/>
        <rFont val="Calibri"/>
        <family val="2"/>
        <scheme val="minor"/>
      </rPr>
      <t>559-579; doi: 10.1785/​0120120162</t>
    </r>
  </si>
  <si>
    <r>
      <t>Norris, R.J.; Cooper, A.F. 2001 Late Quaternary slip rates and their significance for slip partitioning on the Alpine Fault, New Zealand.</t>
    </r>
    <r>
      <rPr>
        <i/>
        <sz val="10"/>
        <rFont val="Calibri"/>
        <family val="2"/>
        <scheme val="minor"/>
      </rPr>
      <t> Journal of Structural Geology, 23(2/3): </t>
    </r>
    <r>
      <rPr>
        <sz val="10"/>
        <rFont val="Calibri"/>
        <family val="2"/>
        <scheme val="minor"/>
      </rPr>
      <t>507-520; doi: 10.1016/S0191-8141(00)00122-X</t>
    </r>
  </si>
  <si>
    <r>
      <t>Rhoades, D.A.; Van Dissen, R.J.; Langridge, R.M.; Little, T.A.; Ninis, D.; Smith, E.G.C.; Robinson, R. 2011 Re-evaluation of conditional probability of rupture of the Wellington-Hutt Valley segment of the Wellington Fault.</t>
    </r>
    <r>
      <rPr>
        <i/>
        <sz val="10"/>
        <rFont val="Calibri"/>
        <family val="2"/>
        <scheme val="minor"/>
      </rPr>
      <t> Bulletin of the New Zealand Society for Earthquake Engineering, 44(2): </t>
    </r>
    <r>
      <rPr>
        <sz val="10"/>
        <rFont val="Calibri"/>
        <family val="2"/>
        <scheme val="minor"/>
      </rPr>
      <t>77-86</t>
    </r>
  </si>
  <si>
    <r>
      <t>Schermer, E.R.; Little, T.A.; Rieser, U. 2009 Quaternary deformation along the Wharekauhau fault system, North Island, New Zealand : implications for an unstable linkage between active strike-slip and thrust faults.</t>
    </r>
    <r>
      <rPr>
        <i/>
        <sz val="10"/>
        <rFont val="Calibri"/>
        <family val="2"/>
        <scheme val="minor"/>
      </rPr>
      <t> Tectonics, 28: </t>
    </r>
    <r>
      <rPr>
        <sz val="10"/>
        <rFont val="Calibri"/>
        <family val="2"/>
        <scheme val="minor"/>
      </rPr>
      <t>TC6008; doi: 10.1029/2008TC002426</t>
    </r>
  </si>
  <si>
    <r>
      <t>Smith, G.M.; Bell, D.H.; Davies, T.R.H. 2012 The Acheron rock avalanche deposit, Canterbury, New Zealand : age and implications for dating landslides.</t>
    </r>
    <r>
      <rPr>
        <i/>
        <sz val="10"/>
        <rFont val="Calibri"/>
        <family val="2"/>
        <scheme val="minor"/>
      </rPr>
      <t> New Zealand Journal of Geology and Geophysics, 55(4): </t>
    </r>
    <r>
      <rPr>
        <sz val="10"/>
        <rFont val="Calibri"/>
        <family val="2"/>
        <scheme val="minor"/>
      </rPr>
      <t>375-391; doi: 10.1080/00288306.2012.733947</t>
    </r>
  </si>
  <si>
    <r>
      <t>Sutherland, R.; Berryman, K.R.; Norris, R. 2006 Quaternary slip rate and geomorphology of the Alpine Fault : implications for kinematics and seismic hazard in southwest New Zealand.</t>
    </r>
    <r>
      <rPr>
        <i/>
        <sz val="10"/>
        <rFont val="Calibri"/>
        <family val="2"/>
        <scheme val="minor"/>
      </rPr>
      <t> Geological Society of America Bulletin, 118(3/4): </t>
    </r>
    <r>
      <rPr>
        <sz val="10"/>
        <rFont val="Calibri"/>
        <family val="2"/>
        <scheme val="minor"/>
      </rPr>
      <t>464-474</t>
    </r>
  </si>
  <si>
    <r>
      <t>Villamor, P.; Berryman, K.R.; Nairn, I.A.; Wilson, K.J.; Litchfield, N.J.; Ries, W. 2011 Associations between volcanic eruptions from Okataina Volcanic Center and surface rupture of nearby active faults, Taupo rift, New Zealand : insights into the nature of volcano-tectonic interactions.</t>
    </r>
    <r>
      <rPr>
        <i/>
        <sz val="10"/>
        <rFont val="Calibri"/>
        <family val="2"/>
        <scheme val="minor"/>
      </rPr>
      <t> Geological Society of America Bulletin, 123(7/8): </t>
    </r>
    <r>
      <rPr>
        <sz val="10"/>
        <rFont val="Calibri"/>
        <family val="2"/>
        <scheme val="minor"/>
      </rPr>
      <t>1383-1405; doi: 10.1130/B30184.1</t>
    </r>
  </si>
  <si>
    <r>
      <t>Villamor, P.; Van Dissen, R.J.; Alloway, B.V.; Palmer, A.S.; Litchfield, N.J. 2007 The Rangipo Fault, Taupo rift, New Zealand : an example of temporal slip-rate and single-event displacement variability in a volcanic environment.</t>
    </r>
    <r>
      <rPr>
        <i/>
        <sz val="10"/>
        <rFont val="Calibri"/>
        <family val="2"/>
        <scheme val="minor"/>
      </rPr>
      <t> Geological Society of America Bulletin, 119(5/6): </t>
    </r>
    <r>
      <rPr>
        <sz val="10"/>
        <rFont val="Calibri"/>
        <family val="2"/>
        <scheme val="minor"/>
      </rPr>
      <t>529-547; doi: 10.1130/B26000.1</t>
    </r>
  </si>
  <si>
    <r>
      <t>Wang, N.; Grapes, R. 2008 Infrared-stimulated luminescence dating of Late Quaternary aggradation surfaces and their deformation along an active fault, southern North Island of New Zealand.</t>
    </r>
    <r>
      <rPr>
        <i/>
        <sz val="10"/>
        <rFont val="Calibri"/>
        <family val="2"/>
        <scheme val="minor"/>
      </rPr>
      <t> Geomorphology, 96(1/2): </t>
    </r>
    <r>
      <rPr>
        <sz val="10"/>
        <rFont val="Calibri"/>
        <family val="2"/>
        <scheme val="minor"/>
      </rPr>
      <t>86-104; doi: 10.1016/j.geomorph.2007.07.016</t>
    </r>
  </si>
  <si>
    <r>
      <t>Wilson, K.J.; Berryman, K.R.; Litchfield, N.J.; Little, T. 2006 A revision of mid-late Holocene marine terrace distribution and chronology at the Pakarae River mouth, North Island, New Zealand.</t>
    </r>
    <r>
      <rPr>
        <i/>
        <sz val="10"/>
        <rFont val="Calibri"/>
        <family val="2"/>
        <scheme val="minor"/>
      </rPr>
      <t> New Zealand Journal of Geology and Geophysics, 49(4): </t>
    </r>
    <r>
      <rPr>
        <sz val="10"/>
        <rFont val="Calibri"/>
        <family val="2"/>
        <scheme val="minor"/>
      </rPr>
      <t>477-489</t>
    </r>
  </si>
  <si>
    <r>
      <t>Yetton, M.D.; Wells, A.; Traylen, N.J. 1998 The probability and consequences of the next Alpine Fault earthquake. [Wellington, N.Z.]: EQC. </t>
    </r>
    <r>
      <rPr>
        <i/>
        <sz val="10"/>
        <rFont val="Calibri"/>
        <family val="2"/>
        <scheme val="minor"/>
      </rPr>
      <t>EQC research report 95/153.</t>
    </r>
    <r>
      <rPr>
        <sz val="10"/>
        <rFont val="Calibri"/>
        <family val="2"/>
        <scheme val="minor"/>
      </rPr>
      <t> 161 p</t>
    </r>
  </si>
  <si>
    <r>
      <t>Zinke, R.; Dolan, J.F.; Rhodes, E.J.; Van Dissen, R.J.; McGuire, C.P. 2017 Highly variable latest Pleistocene–Holocene incremental slip rates on the Awatere fault at Saxton River, South Island, New Zealand, revealed by lidar mapping and luminescence dating.</t>
    </r>
    <r>
      <rPr>
        <i/>
        <sz val="10"/>
        <rFont val="Calibri"/>
        <family val="2"/>
        <scheme val="minor"/>
      </rPr>
      <t> Geophysical Research Letters, 44(22): </t>
    </r>
    <r>
      <rPr>
        <sz val="10"/>
        <rFont val="Calibri"/>
        <family val="2"/>
        <scheme val="minor"/>
      </rPr>
      <t>11,301-11,310; doi: 10.1002/2017GL075048</t>
    </r>
  </si>
  <si>
    <t>McCallion, M.D. 1996 Late Quaternary displacements and tectonic geomorphology of the Alfredton Fault Zone east of Eketahuna, North Wairarapa. BSc(Hons) (Geology) thesis, University of Canterbury.</t>
  </si>
  <si>
    <t>Adamson (1964), Campbell (1992), Knuepfer (1992)</t>
  </si>
  <si>
    <t>Langridge et al. (2017a)</t>
  </si>
  <si>
    <r>
      <t>Langridge, R.M.; Ries, W.F.; Dolan, J.F.; Schermer, E.R.; Siddoway, C. 2017a Slip rate estimates and slip gradient for the Alpine Fault at Calf Paddock, Maruia River, New Zealand.</t>
    </r>
    <r>
      <rPr>
        <i/>
        <sz val="10"/>
        <rFont val="Calibri"/>
        <family val="2"/>
        <scheme val="minor"/>
      </rPr>
      <t> New Zealand Journal of Geology and Geophysics, 60(2): </t>
    </r>
    <r>
      <rPr>
        <sz val="10"/>
        <rFont val="Calibri"/>
        <family val="2"/>
        <scheme val="minor"/>
      </rPr>
      <t>73-88; doi: 10.1080/00288306.2016.1275707</t>
    </r>
  </si>
  <si>
    <t>Lewis, K.B.; Mildenhall, D.C.; Clowes, C.D. 1985 The late Quaternary seismic, sedimentary and palynological stratigraphy beneath Evans Bay, Wellington Harbour. New Zealand Journal of Geology and Geophysics, 28(1): 129-152</t>
  </si>
  <si>
    <t>Goff, J.R. 1997 A chronology of natural and anthropogenic influences on coastal sedimentation, New Zealand. Marine Geology, 138(1/2): 105-117</t>
  </si>
  <si>
    <t>Little et al. (1998); Benson et al. (2001a)</t>
  </si>
  <si>
    <t>Age updated Benson et al. (2001a) using C14 ages from Little et al. (1998) and Kawakawa Tephra correlation at Nina Brook Canyon</t>
  </si>
  <si>
    <t>Age updated Benson et al. (2001a), age is uncalibrated though, using C14 ages from Little et al. (1998) and Kawakawa Tephra correlation at Nina Brook Canyon</t>
  </si>
  <si>
    <t>Eden, D.N. 1989 River terraces and their loessial cover beds, Awatere River valley, South Island, New Zealand. New Zealand Journal of Geology and Geophysics, 32(4): 487-497</t>
  </si>
  <si>
    <t xml:space="preserve">See Page 137 and Table 3. or more detail. Age is from Knuepfer, Table 2, modal thickness data for pebble-weathering rinds on two terraces, recallibrated using McSacveney (1992) curves. Torlesse pebble weathering-rind age from Knuepfer (1988), soil morphology age from Knuepfer (1988) </t>
  </si>
  <si>
    <t xml:space="preserve">See Page 137 and Table 3. or more detail. Age is from Knuepfer, Table 2, modal thickness data for pebble-weathering rinds on two terraces, recallibrated using McSacveney (1992) curves.Torlesse pebble weathering-rind age from Knuepfer (1988), soil morphology age from Knuepfer (1988) </t>
  </si>
  <si>
    <t xml:space="preserve">See Table 3. for more detail.  Torlesse pebble weathering-rind age from Knuepfer (1988), soil morphology age from Knuepfer (1988) </t>
  </si>
  <si>
    <t>Two Q2a terraces (late Last Glacial)  that have vertical separation of 3.4 and 2.7 m. The slip rate is the average vertical displacement rate. Problem with replicating the SR, not sure of age range used to get 0.2 mm/yr.</t>
  </si>
  <si>
    <t>Zachariasen et al. (2000); Begg et al. (2001)</t>
  </si>
  <si>
    <t>Lensen, G.J. 1969b Late Quaternary tectonic map of New Zealand, Sheet N158 Masterton. Scale 1:63,360. Wellington: Department of Scientific and Industrial Research. Late Quaternary tectonic map of New Zealand 1:63,360 N158. 1 fold. Map</t>
  </si>
  <si>
    <t>Measurement from Lensen (1969b). Preferred value is midpoint of range.</t>
  </si>
  <si>
    <t>Beanland (1995); Lensen (1969b)</t>
  </si>
  <si>
    <r>
      <t>Use dip of 60-80</t>
    </r>
    <r>
      <rPr>
        <sz val="10"/>
        <rFont val="Calibri"/>
        <family val="2"/>
      </rPr>
      <t>°</t>
    </r>
    <r>
      <rPr>
        <sz val="10"/>
        <rFont val="Calibri"/>
        <family val="2"/>
        <scheme val="minor"/>
      </rPr>
      <t xml:space="preserve"> from Wood et al. (1994). Vert offset measurement of 10-12 m at Golf Course, not sure of technique or who took it. They subtracted 1 m of fan gradient (drop) off the meaured offset, thus 9-11 was used. No SS SR assume net SR equals vert SR.</t>
    </r>
  </si>
  <si>
    <r>
      <t>Wood, R.A.; Pettinga, J.R.; Bannister, S.; Lamarche, G.; McMorran, T.J.</t>
    </r>
    <r>
      <rPr>
        <sz val="10"/>
        <rFont val="Calibri"/>
        <family val="2"/>
      </rPr>
      <t> 1994 Structure of the Hanmer strike-slip basin, Hope Fault, New Zealand.</t>
    </r>
    <r>
      <rPr>
        <i/>
        <sz val="10"/>
        <rFont val="Calibri"/>
        <family val="2"/>
      </rPr>
      <t> Geological Society of America Bulletin, 106(11): </t>
    </r>
    <r>
      <rPr>
        <sz val="10"/>
        <rFont val="Calibri"/>
        <family val="2"/>
      </rPr>
      <t>1459-1473</t>
    </r>
  </si>
  <si>
    <t>Langridge and Morgenstern (2019b)</t>
  </si>
  <si>
    <t>Langridge and Morgenstern (2019a)</t>
  </si>
  <si>
    <t>New rate developed from Langridge and Morgenstern (2019b) and LiDAR put on a 60 degr plane; then calculated DS</t>
  </si>
  <si>
    <t>Langridge et al. (2003a)</t>
  </si>
  <si>
    <t>Age of wood within terrace deposits in trench. Calibration curve Stuiver and Reimer (1986) with a 30 year offset "as recommended by Stuiver and Pearson (1986) and Pearson and Stuiver (1986). 2 sigma uncertainty.</t>
  </si>
  <si>
    <t>Caswell Fan north ridges and gullies</t>
  </si>
  <si>
    <t>Caswell Fan souh ridges and gullies</t>
  </si>
  <si>
    <t>Offet from Lamb and Vella (1987), also recreated  on lower terrace. Converted to Dips SR using CFM dip, no SS reported assume that Net SR is equal to vert SR.</t>
  </si>
  <si>
    <t>Age of Waiohine terrace from  Lamb and Vella (1987)</t>
  </si>
  <si>
    <t>Nicol et al. (2002); Lamb and Vella (1987)</t>
  </si>
  <si>
    <t>Terrace surface height from multiple aneroid recordings with a reported uncertainty of ±3 m, but actual heights not given. Converted to a net SR using CFM dip and preferred value midpoint. Barnes and Ghisetti (2016) that this is likely to be less or equal to the actual SR for the fault. Is the local terrace uplift rate for late Quaternary. 0.27 is from the western side of the terrace sequence, 0.42 from the eastern edge.</t>
  </si>
  <si>
    <t>Townsend and Little (1998)</t>
  </si>
  <si>
    <t>See Langridge and Ries (2014).  Preferred value is midpoint of range.</t>
  </si>
  <si>
    <t>Langridge and Ries (2014)</t>
  </si>
  <si>
    <t>Marden and Neall (1990)</t>
  </si>
  <si>
    <t>Offset taken from Williams (1975) from a dextrally offset shoreline. Van Dissen and Berryman (1991) said that vertical offset of harvbour may have contributed to lateral offset but could be used a poorly constrained maximum SR. Rated a D because site is destroyed/modified. Assume SS SR equals net SR.</t>
  </si>
  <si>
    <t>No uncertainties given. Age source not explicitly discussed but appears to be from two radiocarbon ages calibrated using Weninger and Joris (2004).</t>
  </si>
  <si>
    <t>Rate from Langridge and Morgenstern (2019a) put on a 60 degr plane; then calculated DS.</t>
  </si>
  <si>
    <t>New rate develpoed from Langridge and Morgenstern (2019a) and LiDAR put on a 60 degr plane; then calculated DS.</t>
  </si>
  <si>
    <t xml:space="preserve">Average dextral slip rate from Van Dissen and Berryman (1996) original measurement is from Miyoshi (1987). Vertical SR is from Miyoshi (1987) and is inferred to be from same location as dextral measurement. Calculated net SR using CFM dip of 90 (80-90) and gave an uncertinaity of 0.05 for Vert SR. </t>
  </si>
  <si>
    <t>Van Dissen and Berryman (1996); Miyoshi et al. (1987)</t>
  </si>
  <si>
    <t>Beanland and Berryman (1987); Beanland (1995)</t>
  </si>
  <si>
    <t>Beanland and Berryman (1987)</t>
  </si>
  <si>
    <t>Rate from Langridge and Morgenstern (2019a) put on a 60 degr plane; then calculated DS</t>
  </si>
  <si>
    <t>New rate develpoed from Langridge and Morgenstern (2019a) and LiDAR put on a 60 degr plane; then calculated DS</t>
  </si>
  <si>
    <t>New rate developed from Langridge and Morgenstern (2019a) and LiDAR put on a 60 degr plane; then calculated DS</t>
  </si>
  <si>
    <t>Langridge and Ries (2015)</t>
  </si>
  <si>
    <t>Section 1 Faults 6 and 7</t>
  </si>
  <si>
    <t>Section 2 11/4_4 and 11/4_5</t>
  </si>
  <si>
    <t>Age assigned by Hackett and Houghton (1989)</t>
  </si>
  <si>
    <t xml:space="preserve">Ages of Waiohine surface were an average of three OSL ages (1 sigma) from Wang and Grapes (2008) for silts deposited on surface. Inferred sample Wai-10a was completely bleached and used to provide a minimum age for terrace abandonment and to calculate max SR. Minimum and maximum values of SR given as well, these in addition to the reported vertical SR are in 1 sigma, while reported dextral SR is in 2 sigma. </t>
  </si>
  <si>
    <t>Van Dissen and Berryman (1996)</t>
  </si>
  <si>
    <t>Used triangular distribution of offset measurements from Carne et al. (2011), Grapes and Wellman (1988), Lensen and Vella (1971). No vertical SR assume dextral SR equals net SR. Uncertainity is reported as SD in text.</t>
  </si>
  <si>
    <t>Terrace is younger than Waiohine surface, use three OSL ages from Wang and Grapes (2008), which are averaged to 11.1 ± 0.6 ka allowing for uncertainties and use for max age for abandonment of Terrace B. Terrace B OSL ages from Carne et al. (2011) were considered to be incompletely bleached.</t>
  </si>
  <si>
    <t>Age of abandonment of Waiohine terrace surface, use a variety of samples from several authors. Minimum age from luminescence ages from Wang and Grapes (2008), for minimum age use 17.5 ka a mid-point of Litchfield and Berryman (2005) for cessation of aggradation in lower NI. Use a triangular probability distrubution for ages used in SR calculation i.e. to get min/max and most probable.</t>
  </si>
  <si>
    <t xml:space="preserve">The offset measurement is from Lensen and Vella (1971) from near the Waiohine River site of other studies. No vertical SR reported, assume dextral Sr equals net SR. </t>
  </si>
  <si>
    <t>Lensen and Vella (1971); Little et al. (2009)</t>
  </si>
  <si>
    <t>Wang and Grapes (2008); Grapes and Wellman (1988); Grapes (1991)</t>
  </si>
  <si>
    <t>Wang and Grapes (2008); Grapes and Wellman (1988)</t>
  </si>
  <si>
    <t>Wang and Grapes (2008);  Grapes and Wellman (1988)</t>
  </si>
  <si>
    <t>At least the horizontal riser offset measured by Grapes and Wellman (1988). Calculated Net Sr and Dips SR using CFM dip and reported SR.</t>
  </si>
  <si>
    <t>6 and 13 m offset channels mentioned by Beanland. Preferred value is midpoint of range.</t>
  </si>
  <si>
    <t>Begg and Van Dissen (1998)</t>
  </si>
  <si>
    <t>Berryman, K.R. 1980 Late Quaternary movement on White Creek Fault, South Island, New Zealand. New Zealand Journal of Geology and Geophysics, 23(1): 93-101</t>
  </si>
  <si>
    <t>Alloway, B.V.; Stewart, R.B.; Neall, V.E.; Vucetich, C.G. 1992 Climate of the Last Glaciation in New Zealand, based on aerosolic quartz influx in an andesitic terrain. Quaternary Research, 38: 170-179</t>
  </si>
  <si>
    <t>Ota et al. (1988a)</t>
  </si>
  <si>
    <t>Ota, Y.; Beanland, S.; Berryman, K.R.; Nairn, I.A. 1988b The Matata Fault : active faulting at the north-western margin of the Whakatane graben, eastern Bay of Plenty. p. 6-13 IN: Research notes 1988. Lower Hutt: New Zealand Geological Survey. Record / New Zealand Geological Survey 35.</t>
  </si>
  <si>
    <t>Saul (1994)</t>
  </si>
  <si>
    <t>Ota et al. (1988a), Berryman et al. (2011), Beavan and Litchfield (2012)</t>
  </si>
  <si>
    <t>Mouslopoulou et al. (2007); Ota et al. (1988b)</t>
  </si>
  <si>
    <t>Beanland (1995);  Raub (1985)</t>
  </si>
  <si>
    <t>Same site as 2306 but Slip rate assessed by Langridge on Q3a/Q2a riser. Matched by rates on Q4a/Q3a and Q2a/Q1a risers. Modified from rate presented in Litchfield et al. (2011)</t>
  </si>
  <si>
    <t>Langridge (unpublished data 2021)</t>
  </si>
  <si>
    <t>Langridge et al. (2003b)</t>
  </si>
  <si>
    <t>Langridge et al. (2003b); Townsend et al. (2002)</t>
  </si>
  <si>
    <t>Langridge et al. (2003b); Lensen (1969)</t>
  </si>
  <si>
    <t>Palmer and Van Dissen (2002)</t>
  </si>
  <si>
    <t>Age is inferred and very poorly constrained by local loess supply cessation estimated at c. 10 ka. The source of the loess at the site is interpreted to be from exposed sea floor and the age is tied to postglacial maximum sea level. Not sure what original dating method used.</t>
  </si>
  <si>
    <t>Williams (1975); Heron et al. (1998)</t>
  </si>
  <si>
    <t>Ota et al. (1988a); Berryman et al. (2011); Beavan and Litchfield (2012)</t>
  </si>
  <si>
    <t>Inferred age for end of laharic amd alluvial sedimentation from Rerewhakaaitu and Kawakawa tephras. Ages from Froggatt and Lowe (1990) and Wilson et al. (1988).</t>
  </si>
  <si>
    <t>Wilson, C.J.N.; Switsur, V.R.; Ward, A.P. 1988 A new 14C age for the Oruanui (Wairakei) eruption, New Zealand. Geological Magazine, 125: 297-300</t>
  </si>
  <si>
    <t>Gamble, J.A.; Price, R.C.; Smith, I.E.M.; McIntosh, W.C.; Dunbar, N.W. 2003 40Ar / 39Ar geochronology of magmatic activity, magma flux and hazards at Ruapehu volcano, Taupo Volcanic Zone, New Zealand. Journal of Volcanology and Geothermal Research, 120(3-4): 271-287</t>
  </si>
  <si>
    <r>
      <t>8-10 m RL, 4-6 m V put on a 70</t>
    </r>
    <r>
      <rPr>
        <sz val="10"/>
        <color theme="1"/>
        <rFont val="Calibri"/>
        <family val="2"/>
      </rPr>
      <t>°</t>
    </r>
    <r>
      <rPr>
        <sz val="10"/>
        <color theme="1"/>
        <rFont val="Calibri"/>
        <family val="2"/>
        <scheme val="minor"/>
      </rPr>
      <t xml:space="preserve"> dip plane; recalculated from Beanland and Berryman (1987). Preferred value is midpoint of range.</t>
    </r>
  </si>
  <si>
    <t>Klos (2009)</t>
  </si>
  <si>
    <t>Mouslopoulou (2006); Mouslopoulou et al. (2007)</t>
  </si>
  <si>
    <t>Assume 1 sigma, doesn’t correlate to a OSL age in the report/thesis, assume tis age is correlated from LGM and not OSL as reported in text</t>
  </si>
  <si>
    <t>Terrace is thought to be part of the more extensive Ohakea surface, use approximate age ranges from Marden and Neall (1990) for different levels of the Ohakea surface to constrain the age.</t>
  </si>
  <si>
    <t>Nicol and Van Dissen (unpublished data)</t>
  </si>
  <si>
    <t>Lake sediments</t>
  </si>
  <si>
    <t>70/1</t>
  </si>
  <si>
    <t>70/2</t>
  </si>
  <si>
    <t>8800-4800 years</t>
  </si>
  <si>
    <t>&lt;4800 years</t>
  </si>
  <si>
    <t>Beanland (1989)</t>
  </si>
  <si>
    <r>
      <t>McSaveney, M.J. 1992 A manual for weathering-rind dating of grey sandstones of the Torlesse Supergroup, New Zealand. Lower Hutt: Institute of Geological &amp; Nuclear Sciences. </t>
    </r>
    <r>
      <rPr>
        <i/>
        <sz val="10"/>
        <rFont val="Calibri"/>
        <family val="2"/>
        <scheme val="minor"/>
      </rPr>
      <t>Institute of Geological &amp; Nuclear Sciences science report 92/04.</t>
    </r>
    <r>
      <rPr>
        <sz val="10"/>
        <rFont val="Calibri"/>
        <family val="2"/>
        <scheme val="minor"/>
      </rPr>
      <t> 52 p.</t>
    </r>
  </si>
  <si>
    <t>Not stated</t>
  </si>
  <si>
    <t>Maximum age from displacement of Mamaku Ash. No info given on how ash was identified.</t>
  </si>
  <si>
    <t>From differential displacement of Rotoma alluvium and Mamaku Ash. No info given on how ash and alluvium were identified.</t>
  </si>
  <si>
    <t>93/1</t>
  </si>
  <si>
    <t>627 ± 94 - 620 ± 120 years B.P.</t>
  </si>
  <si>
    <t>Bracketed by two radiocarbon ages. Unclear if reported ages are calibrated or CRA's.</t>
  </si>
  <si>
    <t>5.6 - 0.7 ka</t>
  </si>
  <si>
    <t>From differential displacement of Whakatane Ash and Kaharoa ash</t>
  </si>
  <si>
    <t>Villamor et al. (2011)</t>
  </si>
  <si>
    <t>≥5.6 ka</t>
  </si>
  <si>
    <t>From differential displacement of Mamaku paleosol and Whakatane lapilli. Inferred to have occurred immediately prior to the Whakatane eruption.</t>
  </si>
  <si>
    <t>8.1-5.6 ka</t>
  </si>
  <si>
    <t>From differential displacement of Mamaku alluvium and Mamaku paleosol.</t>
  </si>
  <si>
    <t>~8.1 ka</t>
  </si>
  <si>
    <t>9.5-8.1 ka</t>
  </si>
  <si>
    <t>From differential displacement of Rotoma alluvium and Mamaku lapilli.</t>
  </si>
  <si>
    <t>9.5 ka</t>
  </si>
  <si>
    <t>From differential displacement of Rotoma Formation units. Inferred to have occurred during the Rotoma eruption.</t>
  </si>
  <si>
    <t>From differential displacement of Mamaku lapilli and Mamaku alluvium. Inferred to have occurred during the Mamaku eruption.</t>
  </si>
  <si>
    <t>≥9.5 ka</t>
  </si>
  <si>
    <t>From differential displacement of Waiohau paleosol and Rotoma Formation. Inferred to have occurred just before the Rotoma eruption.</t>
  </si>
  <si>
    <t>Rob Langridge (unpublished data 2006)</t>
  </si>
  <si>
    <t>Akatarawa Trench</t>
  </si>
  <si>
    <t>&lt;3500-4700</t>
  </si>
  <si>
    <t>EQ3</t>
  </si>
  <si>
    <t>&lt;14,000 years</t>
  </si>
  <si>
    <t>Golf Course Trench 1 (ALF-1)</t>
  </si>
  <si>
    <t>Golf Course Trench 2 (ALF-2)</t>
  </si>
  <si>
    <t>&lt;200 cal. yr BP</t>
  </si>
  <si>
    <t>&gt;510-690 cal. yr BP</t>
  </si>
  <si>
    <t>Percy Trench</t>
  </si>
  <si>
    <t>&lt;200 yr ago</t>
  </si>
  <si>
    <t>Event inferred from movement along Fault A and deposition of colluvial wedge (Unit 7). Historic and geologic evidence constrain the last event to &lt;200 yr ago, said to be supported by C14 ages (Sample Percy 1/6 0-470 cal. yr BP). 2 sigma. Interpreted to have represent a rupture in the 1855 AD Wairarapa Earthquake.</t>
  </si>
  <si>
    <t>&lt;310-540 cal. BP</t>
  </si>
  <si>
    <t xml:space="preserve">Combined Golf Course </t>
  </si>
  <si>
    <t>&lt;200 BP</t>
  </si>
  <si>
    <t>510-690 - 2780-2960 cal. BP</t>
  </si>
  <si>
    <t>2780-2960 - 690-510 cal. yr BP</t>
  </si>
  <si>
    <t>&lt;690-510 cal. yr BP</t>
  </si>
  <si>
    <t>2220-6400</t>
  </si>
  <si>
    <t>Inter-event times between events.</t>
  </si>
  <si>
    <r>
      <t xml:space="preserve">6380 </t>
    </r>
    <r>
      <rPr>
        <sz val="10"/>
        <color theme="1"/>
        <rFont val="Calibri"/>
        <family val="2"/>
      </rPr>
      <t>± 940 cal. yr BP</t>
    </r>
  </si>
  <si>
    <t>8650 ± 1300 cal. yr BP</t>
  </si>
  <si>
    <t>340 ± 60 yr BP - 2680 ± 60 yr BP</t>
  </si>
  <si>
    <t>c. 4 ka - 10-14 ka</t>
  </si>
  <si>
    <t>10 ka</t>
  </si>
  <si>
    <t>14 ka</t>
  </si>
  <si>
    <t>c. 4 ka</t>
  </si>
  <si>
    <t>Higher Porewan Fan Surface</t>
  </si>
  <si>
    <t>&lt;55 ka</t>
  </si>
  <si>
    <t>&lt;10000 yr BP</t>
  </si>
  <si>
    <t>Waiohine surface (10-14 ka) offset in trench by two steeply dipping faults as well as overlying loess deposits. No C14 material to date. Assume they just took minimum age range of Waiohine surface.</t>
  </si>
  <si>
    <t>1300-2000</t>
  </si>
  <si>
    <t>&lt;1283 cal. yr BP</t>
  </si>
  <si>
    <t>1068-2707 cal. yr BP</t>
  </si>
  <si>
    <t>2356-3837 cal. yr BP</t>
  </si>
  <si>
    <t>&gt;3639 cal. yr BP</t>
  </si>
  <si>
    <t>&lt;10098 ± 58 yr BP</t>
  </si>
  <si>
    <t>Harper Road (Site d)</t>
  </si>
  <si>
    <t>&lt; ca. 1000 yr BP</t>
  </si>
  <si>
    <t>Waitohu Stream (Site g)</t>
  </si>
  <si>
    <t>&lt; ca.1000 yr BP</t>
  </si>
  <si>
    <t>Muaupoko Stream Trench T00/1</t>
  </si>
  <si>
    <t>930-1520 cal. yr BP</t>
  </si>
  <si>
    <t>Litchfield et al. (2004)</t>
  </si>
  <si>
    <t>Muaupoko Stream Trench T01/2</t>
  </si>
  <si>
    <t>&lt; 4-7,000</t>
  </si>
  <si>
    <t>Inferred the three upward fault terminations to represent event horizons, and used the age of a faulted peat (c. 14 ka).</t>
  </si>
  <si>
    <t>Muaupoko Stream Trench T01/3</t>
  </si>
  <si>
    <t>&lt; 3-5,000</t>
  </si>
  <si>
    <t>Maximum RI, interpreted two to three events based on major unconformities in the trench, used age of a silt which was the oldest singly deformed unit (c. 9 ka) to get a maximum RI.</t>
  </si>
  <si>
    <t>&lt;750-1050</t>
  </si>
  <si>
    <t>Combined Muapoko</t>
  </si>
  <si>
    <t>3-7,000</t>
  </si>
  <si>
    <t xml:space="preserve">Maximum recurrence interval combined from trenches T01/2 and T01/3. </t>
  </si>
  <si>
    <t>930-1050 cal. yr BP</t>
  </si>
  <si>
    <t>Combined Muapoko with Heron (1998)</t>
  </si>
  <si>
    <t>1000-1050</t>
  </si>
  <si>
    <t>Litchfield et al. (2004); Heron et al (1998)</t>
  </si>
  <si>
    <t>MacKays Crossing Trench</t>
  </si>
  <si>
    <t>2200 (800-7700)</t>
  </si>
  <si>
    <t>&lt;3470 cal. yr BP</t>
  </si>
  <si>
    <t>T</t>
  </si>
  <si>
    <t>Litchfield et al. (2006)</t>
  </si>
  <si>
    <t>3260-4810 cal. yr BP</t>
  </si>
  <si>
    <t>4410-5270 cal. yr BP</t>
  </si>
  <si>
    <t>Horokiri Valley</t>
  </si>
  <si>
    <t>&lt;1290 cal. yr BP</t>
  </si>
  <si>
    <t>Litchfield et al. (2010)</t>
  </si>
  <si>
    <t>Horokiri Stream (Loc. 044)</t>
  </si>
  <si>
    <t xml:space="preserve">&gt;1060-1230 cal. yr BP </t>
  </si>
  <si>
    <t>Kahao Stream</t>
  </si>
  <si>
    <t>&lt;980-1160 cal. yr BP</t>
  </si>
  <si>
    <t>Waikanae Stump</t>
  </si>
  <si>
    <t xml:space="preserve">&gt;1070-1270 cal. BP </t>
  </si>
  <si>
    <t xml:space="preserve">Horokiri Valley Trench (Loc. 048) and Waikanae Stump combined </t>
  </si>
  <si>
    <t>1070-2310 cal. yr BP</t>
  </si>
  <si>
    <t>The minimum reported age value is taken from the buried tree stump in an unfaulted terrace at the Waikanae (NZ 7428). The maximum age is taken from a faulted peat (unit 18 NZ 8034) at Horokiri Valley Trench. Ages in text are reported in 1 sigma, appendix 3 gives them in 2 sigma. The reported EQ age in 2 sigma is 990-2340 cal. yr BP.</t>
  </si>
  <si>
    <t>Horokiri Valley Trench (Loc. 048)</t>
  </si>
  <si>
    <t>150-430 - 2000-2310 cal. yr BP</t>
  </si>
  <si>
    <t>Boom Rock Road Trench (T06/1)</t>
  </si>
  <si>
    <t>290-1520 cal. yr BP</t>
  </si>
  <si>
    <t>Bryant Trench (T08/1)</t>
  </si>
  <si>
    <t>&lt;310 cal. yr BP</t>
  </si>
  <si>
    <t>310-1410 cal. yr BP</t>
  </si>
  <si>
    <t>Ohariu valley 1a and 1b sites</t>
  </si>
  <si>
    <t xml:space="preserve"> 150-1130 cal. yr BP</t>
  </si>
  <si>
    <t>&gt;1280 cal. yr BP</t>
  </si>
  <si>
    <t>This event is inferred to have occurred before the fissure formation/fill, twigs/roots were dated (Sample Wk-1937) and this is used as to constrain the min age for this event. Uncertainty is discussed in text with this event, but is included for completion. Ages in text are reported in 1 sigma, appendix 3 gives them in 2 sigma. The reported EQ age in 2 sigma is &gt;1190 cal. yr BP.</t>
  </si>
  <si>
    <t>Event inferred by wedge of silty sandy gravel (unit 12), which overlies the easternmost plane of movement. May have also deformed an underlying gravel (unit 14), which alterantively may have been produced by a separate event.</t>
  </si>
  <si>
    <t>Inferred from wedge 11 of fine-medium angular gravel (unit 16) that interfinger with organic silts to the east. These to do extend westward to the fault scarp due to subsequent channelling. Wedges are said to be &gt;45 ka (Wk-1786, 1787) but could be directly dated.</t>
  </si>
  <si>
    <t>Inferred from wedge 12 of fine-medium angular gravel (unit 18) that interfinger with organic silts to the east. These to do extend westward to the fault scarp due to subsequent channelling. Possible older event inferred from faulted gravel (unit 14) against the fault plane. Wedges are said to be &gt;45 ka (Wk-1786, 1787) but could be directly dated.</t>
  </si>
  <si>
    <t>Ohariu valley 2 site (Loc. O047)</t>
  </si>
  <si>
    <t>Elsdon Site</t>
  </si>
  <si>
    <t>Grant-Taylor (1974); Williams (1975); Litchfield et al. (2010)</t>
  </si>
  <si>
    <t>Combined Kahao, Horokiri Valley, Waikanae and Ohariu Valley</t>
  </si>
  <si>
    <t>1060-1140 cal. yr BP</t>
  </si>
  <si>
    <t>This age is most probably reported in 1 sigma, following the same reporting as those in the text. 2 sigma are available in Table 2.</t>
  </si>
  <si>
    <t>&lt;15410-13850 cal. yr BP</t>
  </si>
  <si>
    <t>Event inferred from upward propagation of F2. Take radiocarbon age of Unit 13a (Sample T1-8) for the minimum age which overlies F2. Radiocarbon age of Unit 14a (Sample T1-5) which it truncates. Bracketed minimum and maximum ages of event respectively. Calibrated using SHCal02. 2 sigma uncertainties.</t>
  </si>
  <si>
    <t>Event inferred from termination of F1 at Unit 14a. Radiocarbon age of unit 14a (Sample T1-5) taken for minimum age. Age of unit 14b (Sample T1-6) which it truncates used for maximum. Calibrated using SHCal04. 2 sigma uncertainties.</t>
  </si>
  <si>
    <t>Taupo Swamp</t>
  </si>
  <si>
    <t>700-1200 cal. yr BP</t>
  </si>
  <si>
    <t>Cochran et al. (2007)</t>
  </si>
  <si>
    <t>2100-2600 cal. yr BP</t>
  </si>
  <si>
    <t>2330-3850 cal. yr BP</t>
  </si>
  <si>
    <t>306-716 cal. yr BP</t>
  </si>
  <si>
    <t>790-1180 cal. yr BP or 800-1300 cal. yr BP</t>
  </si>
  <si>
    <t>&gt;2852-3562 cal. yr BP</t>
  </si>
  <si>
    <t>Turakirae Head</t>
  </si>
  <si>
    <t xml:space="preserve">Mean RI calculated between uplift of beach ridges and elapsed time. Modal interval 2122 ± yr. </t>
  </si>
  <si>
    <t>1855 AD</t>
  </si>
  <si>
    <t>McSaveney et al. (2006)</t>
  </si>
  <si>
    <t>110-430 BC</t>
  </si>
  <si>
    <t>2164-3468 BC</t>
  </si>
  <si>
    <t>4660-4970 BC</t>
  </si>
  <si>
    <r>
      <t>EQ</t>
    </r>
    <r>
      <rPr>
        <b/>
        <sz val="10"/>
        <color theme="1"/>
        <rFont val="Calibri"/>
        <family val="2"/>
      </rPr>
      <t>≥</t>
    </r>
    <r>
      <rPr>
        <b/>
        <sz val="9"/>
        <color theme="1"/>
        <rFont val="Calibri"/>
        <family val="2"/>
      </rPr>
      <t>5</t>
    </r>
  </si>
  <si>
    <t>c. 7000 BC</t>
  </si>
  <si>
    <t>Lake Kohangapiripiri KP99-1&amp;2</t>
  </si>
  <si>
    <t>2000-2300 cal. yr BP</t>
  </si>
  <si>
    <t>3300-3900 cal. yr BP</t>
  </si>
  <si>
    <t>4800-5400 cal. yr BP</t>
  </si>
  <si>
    <t>&gt;6300-7250 cal. yr BP</t>
  </si>
  <si>
    <t>Miramar Beach Ridges</t>
  </si>
  <si>
    <t>260-940 cal. yr BP</t>
  </si>
  <si>
    <t>2740-3410 cal. yr BP</t>
  </si>
  <si>
    <t>4890-5400 cal. yr BP</t>
  </si>
  <si>
    <t>5730-5970 cal. yr BP</t>
  </si>
  <si>
    <t>5730-7290 cal. yr BP</t>
  </si>
  <si>
    <t>Hendricksen Trench 1</t>
  </si>
  <si>
    <t>0-310 cal. BP - 7880-8290 cal. yr BP</t>
  </si>
  <si>
    <t>≤7880-8290 cal. yr BP</t>
  </si>
  <si>
    <t>&gt;7880-8290 cal. yr BP</t>
  </si>
  <si>
    <t>Hendricksen Trench 2</t>
  </si>
  <si>
    <t>&lt;100</t>
  </si>
  <si>
    <t>Evidence includes unit 1 which grades and overlaps into artefacts layer. Table 3 gives age of &lt;100 cal. yr BP, postdates European settlement starting 1896.  Interpreted to have represent a rupture in the 1934 AD Pahiatua earthquake.</t>
  </si>
  <si>
    <t>&lt;2.8 ka</t>
  </si>
  <si>
    <t>&gt;2.8 ka</t>
  </si>
  <si>
    <t xml:space="preserve">Evidence includes silts and clayey silts in western part of unit 8 and sand unit 7 interpreted to be formed from faulting and ponding. </t>
  </si>
  <si>
    <t>Possible event. Evidence includes gravelly silt unit 4, but is noted to have a channel rather than wedge geometry and fine-grained silt layer in it. Discuss this may have formed in the same event that formed units 3 and 5 so EQ2/3?</t>
  </si>
  <si>
    <t>Hendricksen Trenches Combined</t>
  </si>
  <si>
    <t>1934 AD</t>
  </si>
  <si>
    <t>Unit 4, fault B (trench 1), Unit 1, fault C, bury artefacts (trench 2). Table 3 gives age of &lt;100 cal. yr BP, postdates European settlement starting 1896. Interpreted to have represent a rupture in the 1934 AD Pahiatua earthquake.</t>
  </si>
  <si>
    <t>&gt;200 cal. yr BP</t>
  </si>
  <si>
    <t xml:space="preserve">c.2750-2950 - 7880-8290 cal. yr BP </t>
  </si>
  <si>
    <t>Evidence for event includes colluvial wedge (unit 4) that overlaps buried soil/alluvial sediment. Sample Hend 1/5 from underlying peat unit yield modern age used for max constraint. Reported in 2 sigma.  Interpreted to have represent a rupture in the 1934 AD Pahiatua earthquake. Calibrated using Suiver and Reimer (1993) and southern hemisphere correction of -27 years.</t>
  </si>
  <si>
    <t>Evidence for event includes colluvial wedge unit 6 that buries ~ 80 cm of alluvial sediment (unit 7). Min age constrained by sample Hend 1/3. Max age constrained by wood from oldest unit sampled in trench (Sample Hend 1/4). Fault B may cut off root in wedge material. Calibrated using Suiver and Reimer (1993) and southern hemisphere correction of -27 years.</t>
  </si>
  <si>
    <t>Evidence includes gravelly silt at western end of unit 7/buried soil at top of unit 8a. Max age constrained by wood from oldest unit sampled in trench (Sample Hend 1/4). Calibrated using Suiver and Reimer (1993) and southern hemisphere correction of -27 years.</t>
  </si>
  <si>
    <t>Evidence includes fissured and infilled bedrock as well as a possibly tilted tree root (unit 9) no colluvial wedge associated with this. Wood sample Hend 1/4 from oldest dated unit in the trench used to constrain minimum age, max age is unconstrained. Calibrated using Suiver and Reimer (1993) and southern hemisphere correction of -27 years.</t>
  </si>
  <si>
    <t>Evidence includes wedge unit 3. Constrained by max age from peat that underlies the wedge and several other packages (sample Hend 2/2). Calibrated using Suiver and Reimer (1993) and southern hemisphere correction of -27 years. 2 sigma uncertainties.</t>
  </si>
  <si>
    <t>Evidence includes buried soil of unit 8 and colluvial wedge unit 5. Use age of peat (Sample Hend 2/2) that overlies unit 8 to constrain min age of unit 8 i.e. postdate 2.8 ka. Calibrated using Suiver and Reimer (1993) and southern hemisphere correction of -27 years. 2 sigma uncertainties.</t>
  </si>
  <si>
    <t>Unit 6, fault B? (trench 1 age control), unit 3, Fault B (trench 2). Calibrated using Suiver and Reimer (1993) and southern hemisphere correction of -27 years. 2 sigma uncertainties.</t>
  </si>
  <si>
    <t>Unit 7, fault A (trench 1), Unit 5, fault A, bury sample 2/2 (trench 2). Calibrated using Suiver and Reimer (1993) and southern hemisphere correction of -27 years. 2 sigma uncertainties.</t>
  </si>
  <si>
    <t>Units 8a, 8b, 9 (basement subsidence, bedrock fissuring) (trench 1), Units 7, 8 (reworked colluvial wedge, basement subsidence) (trench 2). Calibrated using Suiver and Reimer (1993) and southern hemisphere correction of -27 years. 2 sigma uncertainties.</t>
  </si>
  <si>
    <t>Pigeon Bush (PB-1)</t>
  </si>
  <si>
    <t>1230 ± 190</t>
  </si>
  <si>
    <t>Little et al. (2009)</t>
  </si>
  <si>
    <t>&gt;497-546 cal. yr BP</t>
  </si>
  <si>
    <t>Cross Creek CC-1</t>
  </si>
  <si>
    <t>800-920 cal. yr BP</t>
  </si>
  <si>
    <t>2110-2340 cal. yr BP</t>
  </si>
  <si>
    <t>2970-3690 cal. yr BP</t>
  </si>
  <si>
    <t>&lt;12-13 ka</t>
  </si>
  <si>
    <t>Cross Creek CC-4</t>
  </si>
  <si>
    <t>&lt;3340 cal. yr BP</t>
  </si>
  <si>
    <t>3070-4870  cal. yr BP</t>
  </si>
  <si>
    <t>4620-5450 cal. yr BP</t>
  </si>
  <si>
    <t>Cross Creek South (CC-1, CC-4) Combined</t>
  </si>
  <si>
    <t>&gt;5</t>
  </si>
  <si>
    <t>From Trench CC-1. Assume that uppermost units of Trench CC-4 have been removed by deforestation and agriculture. Given in 95% confidence interval (2 sigma).</t>
  </si>
  <si>
    <t>740-2340 cal. yr BP</t>
  </si>
  <si>
    <t>3070-3690 cal. yr BP</t>
  </si>
  <si>
    <t>Further constrains ages from the CC-4 Trench with dates from the CC-1. Minimum ages from Sample CC-4-13 from trench CC-4. Maximum age from CC-1-12 Trench CC-1. Given in 95% confidence interval (2 sigma).</t>
  </si>
  <si>
    <t xml:space="preserve">Age from CC-4, min and max from Samples CC-4-10 and CC-4-6 respectively. Event not discussed in CC-1, however there is evidence for an older event (EQ6) in CC-1 but poorly constrained. </t>
  </si>
  <si>
    <t>Cross Creek CC-2</t>
  </si>
  <si>
    <t>&lt;1991-2294 cal. yr BP</t>
  </si>
  <si>
    <t>1991-4970 cal. yr BP</t>
  </si>
  <si>
    <t>&gt;4640-4980 cal. yr BP</t>
  </si>
  <si>
    <t>Cross Creek CC-3</t>
  </si>
  <si>
    <t>95 cal. yr BP</t>
  </si>
  <si>
    <t>&lt;1940-2150 cal. yr BP</t>
  </si>
  <si>
    <t>1940-3080 cal. yr BP</t>
  </si>
  <si>
    <t>3990-5280 cal. yr BP</t>
  </si>
  <si>
    <t>Cross Creek North (CC-2, CC-3) Combined</t>
  </si>
  <si>
    <t>1991-3080 cal. yr BP</t>
  </si>
  <si>
    <t>4842-5209 cal. yr B.P</t>
  </si>
  <si>
    <t>Combined using trench sites from study (Cross Creek, Pigeon Bush, Riverslea). Note Riverslea is actually Wharekauhau Thrust</t>
  </si>
  <si>
    <r>
      <t xml:space="preserve">1230 </t>
    </r>
    <r>
      <rPr>
        <sz val="10"/>
        <color theme="1"/>
        <rFont val="Calibri"/>
        <family val="2"/>
      </rPr>
      <t>± 190</t>
    </r>
  </si>
  <si>
    <t>Uses trench sites Rv1, Pb1, 95% confidence (2 sigma).</t>
  </si>
  <si>
    <t>Uses trench sites Rv2, CCs2, CCn2, Pb2, Min is Sample CC-1-14, max is Sample CC-1-6. 95% confidence (2 sigma).</t>
  </si>
  <si>
    <t>Uses trench sites CCs3, CCn3, CCs4. Min is Sample CC-2-31, max is sample CC-1-6. Preferred is Sample CC-1-6. 95% confidence (2 sigma).</t>
  </si>
  <si>
    <t>Uses trench sites CCs4. Min is Sample CC-4-13, max is Sample CC-1-12. 95% confidence (2 sigma).</t>
  </si>
  <si>
    <t>4842-5209 cal. yr BP</t>
  </si>
  <si>
    <t>Uses trench sites CCs5, CCn4. Min is Sample CC-2-30, max is CC-3-L. Preferred is sample CC-2-38. 95% confidence (2 sigma).</t>
  </si>
  <si>
    <t xml:space="preserve">Wairarapa </t>
  </si>
  <si>
    <t>Tea Creek Road</t>
  </si>
  <si>
    <t>~1500-~1600</t>
  </si>
  <si>
    <t>The LE (1855) wasn't recorded in the trench but was still included in calculation. Ages reported in 1 sigma. Min and max given as ~1200 and ~2100 years respectively.</t>
  </si>
  <si>
    <t>1400-1530 cal. yr BP</t>
  </si>
  <si>
    <t>2750-2860 cal. yr BP</t>
  </si>
  <si>
    <t>&lt;4420-4870 cal. yr BP</t>
  </si>
  <si>
    <t>6200-6410 cal. yr BP</t>
  </si>
  <si>
    <t>Tea Creek Road 3</t>
  </si>
  <si>
    <r>
      <t xml:space="preserve">1870 </t>
    </r>
    <r>
      <rPr>
        <sz val="10"/>
        <color theme="1"/>
        <rFont val="Calibri"/>
        <family val="2"/>
      </rPr>
      <t>± 70 yr BP</t>
    </r>
  </si>
  <si>
    <t>Maximum age from radiocarbon charcoal date. Calibrated using SHCal04, 2 sigma uncertainties, age in mode 1. Also second trench PB-2, but wasn’t used for dating events. Inferred to be 1855 earthquake based on historical data.</t>
  </si>
  <si>
    <t>Ages from Trench CC-1, as CC-4 only provides maximum age. Preferred age is just from the maximum radiocarbon age, assumed to record the death of a tree from toppling prior to emplacement of wedge.  Given in 95% confidence interval (2 sigma). Don't know why the same assumption from EQ3 CC-1 wasn't also carried through here to better constrain the age.</t>
  </si>
  <si>
    <t>Event inferred from organic rich unit. Radiocarbon date from small branches and twigs, calibrated using Stuiver and Reimer (1993) and a southern hemisphere offset of -40 years. Inferred that c14 age dates earthquake but technically should be a minimum age.  In text age reported and used in calculation is in 1 sigma, 2 sigma age in Table 2 &gt;1330-1570 cal. yr BP.</t>
  </si>
  <si>
    <t>Event inferred from organic rich unit. Radiocarbon date from bark and small branches, calibrated using Stuiver and Reimer (1993) and a southern hemisphere offset of -40 years.  Inferred that c14 age dates earthquake but technically should be a minimum age.  In text age reported and used in calculation is in 1 sigma, 2 sigma age in Table 2 &gt;2560-2960 cal. yr BP.</t>
  </si>
  <si>
    <t>Event inferred from organic rich unit. Maximum age fom radiocarbon date of small branches from the outer part of a buried stump, calibrated using Stuiver and Reimer (1993) and a southern hemisphere offset of -40 years. In text age reported and used in calculation is in 1 sigma, 2 sigma age in Table 2 &lt;4420-4870 cal. yr BP.</t>
  </si>
  <si>
    <t>Event inferred from organic rich unit. Radiocarbon date from bark, twigs and seeds, calibrated using Stuiver and Reimer (1993) and a southern hemisphere offset of -40 years. Inferred that c14 age dates earthquake but technically should be a minimum age.  In text age reported and used in calculation is in 1 sigma, 2 sigma age in Table 2 &gt;6040-6480 cal. yr BP.</t>
  </si>
  <si>
    <t>Age from outer part of buried tree stump in a massive clayey silt. Inferred to be from LE or PE. Uncalibrated.</t>
  </si>
  <si>
    <t>Combination of all trenches from 2007 Paper</t>
  </si>
  <si>
    <t>c. 1200 ± 110</t>
  </si>
  <si>
    <t>Based on four events</t>
  </si>
  <si>
    <t>1670-1800 AD</t>
  </si>
  <si>
    <t>Event recognised at all sites in study. No evidence of historical rupture (1840) on Pahiatua section of Wellington fault, supported by unfaulted uppermost peat and surface soil. ~ 22 km length of rupture.</t>
  </si>
  <si>
    <t>Langridge et al. (2007)</t>
  </si>
  <si>
    <t>690-1160 AD</t>
  </si>
  <si>
    <t>Recognised at all sites in study, combined AD 690-1160. Death-1 does not support this range. Age in discussion does not match that in abstract, which is 690-1170 AD.</t>
  </si>
  <si>
    <t>65 AD - 400 BC</t>
  </si>
  <si>
    <t>Only observed at Ebbett-1 and Hughes trenches. Bracketed by faulting and to ages of co-seismic deposits. ~19 km length of rupture.</t>
  </si>
  <si>
    <t>Langridge et al. (2007); Berryman et al. (2002)</t>
  </si>
  <si>
    <t>1600-2140 BC</t>
  </si>
  <si>
    <t>Only observed at Ebbett-1 and Hughes trenches. Bracketed by three key ages in the Hughes -1 trench.</t>
  </si>
  <si>
    <t>Ebbett-1 Trench</t>
  </si>
  <si>
    <t>&lt;1070 cal. yr BP</t>
  </si>
  <si>
    <t>790-1070 cal. yr BP</t>
  </si>
  <si>
    <r>
      <t>EQ</t>
    </r>
    <r>
      <rPr>
        <b/>
        <sz val="10"/>
        <color theme="1"/>
        <rFont val="Calibri"/>
        <family val="2"/>
      </rPr>
      <t>≥</t>
    </r>
    <r>
      <rPr>
        <b/>
        <sz val="10"/>
        <color theme="1"/>
        <rFont val="Calibri"/>
        <family val="2"/>
        <scheme val="minor"/>
      </rPr>
      <t>3</t>
    </r>
  </si>
  <si>
    <t>3910-4510 cal. yr BP</t>
  </si>
  <si>
    <t>Ebbett-2 Trench</t>
  </si>
  <si>
    <t>&gt;150 cal. yr BP</t>
  </si>
  <si>
    <t>970-1260  cal. yr BP</t>
  </si>
  <si>
    <t>Army Depot Site</t>
  </si>
  <si>
    <t>1?</t>
  </si>
  <si>
    <t>158-488 cal. yr BP</t>
  </si>
  <si>
    <t>Langridge et al. (2007); Beanland (1995)</t>
  </si>
  <si>
    <t>Combined Army Depot and Ebbett Trenches</t>
  </si>
  <si>
    <t>Not sure where the 158 comes from, as per comment above at Army Depot site. Max age is from Army Depot reported age in Table 2, not in text which is the same as this age. Ages reported in 2 sigma.</t>
  </si>
  <si>
    <t>790-1260</t>
  </si>
  <si>
    <t>Combined from Ebbett 1 and Ebbett 2.</t>
  </si>
  <si>
    <t>Hughes-1 Trench</t>
  </si>
  <si>
    <t>c.110-280 cal. yr BP</t>
  </si>
  <si>
    <t>790-1170 cal. yr BP</t>
  </si>
  <si>
    <t>2100-2350 cal. yr BP</t>
  </si>
  <si>
    <t xml:space="preserve">c. 3550-4090 cal. yr BP </t>
  </si>
  <si>
    <t>c. 3550</t>
  </si>
  <si>
    <t>EQX</t>
  </si>
  <si>
    <t>2197 ± 62 to 3600 ± 53 14C yr BP</t>
  </si>
  <si>
    <t>Hughes-2 Trench</t>
  </si>
  <si>
    <t>&lt;1890-2120 cal. yr BP</t>
  </si>
  <si>
    <t>c. 1890-2120  cal. yr BP</t>
  </si>
  <si>
    <t>Hughes Trenches Combined</t>
  </si>
  <si>
    <t>Trench 1. Evidence for faulting of all units except present topsoil. Interpreted ponded organic unit (orggvz) fills v-shaped fissure cuts interpreted to have formed in the LE. Fibrous reeds (assumed to be in situ, Sample Hgh1-12) used to constrain minimum and wood sample (Hgh1-13) was dated but yielded an older age and was assumed to be reworked. Dated underlying faulted deposit zgv4 (Sample Hgh1-1) for maximum. They  further constrain the age of the LE by assuming that the unit orggvz (sample Hgh1-12) is co-temporal with rupture and also assume no historic rupture. Ages reported in 2 sigma.</t>
  </si>
  <si>
    <t>Trench 1. Infer that silty gravel unit zgv4, which is faulted by the LE faults F2 and F4 but F3 terminates against was deposited shortly after PE. Sample of wood (Hgh 1-1, NE) from this unit used to bracket this event. Suggest SS faulting. Ages reported in 2 sigma.</t>
  </si>
  <si>
    <t>1890-2120 - 2100-2350 cal. yr BP</t>
  </si>
  <si>
    <t>Minimum age Hughes 2 (Sample Hgh2-2a) and max age from Hughes-1 (Sample Hgh1-8.</t>
  </si>
  <si>
    <t>Only documented as event x in Hughes 1, is bracketed between events 3 and 5.</t>
  </si>
  <si>
    <t xml:space="preserve">Evidence for earthquake includes the presence of orggvz8 (interpreted to be co-seismic based on texture) and from clustering of five radiocarbon ages (Hgh1-2, 7, 9, 10, 15). Many are dated plant material so infer represents deposition of delicate plant material in a mixed clastic deposit in response to faulting and landscape instability. </t>
  </si>
  <si>
    <t>Death Stream Exposure</t>
  </si>
  <si>
    <t>&gt;110 cal. yr BP</t>
  </si>
  <si>
    <t>Recognised in Death-1 however undated. 1.5 m high stream exposure adjacent to Death-1 Trench, assumed evidence for post-seismic units deposited behind a scarp since LE. Sample from blue-grey sand (Sample S25/f20) provides minimum age for event. Assume no historic rupture discuss nearby event thus the 110 cal. yr BP reported age. One radiocarbon age from a sand. Ages reported in 2 sigma.</t>
  </si>
  <si>
    <t>Death-1 Trench</t>
  </si>
  <si>
    <t>&gt;1170-1390  cal. yr BP</t>
  </si>
  <si>
    <t>Death-2 Trench</t>
  </si>
  <si>
    <t>690-1350 cal. yr BP</t>
  </si>
  <si>
    <t>1170-1350 cal. yr BP</t>
  </si>
  <si>
    <t>Trenches are 300 m apart but quite different, and they evidence could be for separate events. Maximum age from Death-2 and minimum from Death-1.</t>
  </si>
  <si>
    <t>&gt;1170-1350 cal. yr BP</t>
  </si>
  <si>
    <t>Inferred from co-seismic and post-seismic stratigraphy. Said that ages for assumed PE will become minimum age.</t>
  </si>
  <si>
    <t>Dougan-1</t>
  </si>
  <si>
    <t>1183-1840 AD</t>
  </si>
  <si>
    <t>1183-1278 AD</t>
  </si>
  <si>
    <t>44 BC-253 AD</t>
  </si>
  <si>
    <t>44-1741 BC</t>
  </si>
  <si>
    <t>1741-1921 BC</t>
  </si>
  <si>
    <t>&gt;1733-1921 BC</t>
  </si>
  <si>
    <t>1655-1666 AD</t>
  </si>
  <si>
    <t>1217-1623 AD</t>
  </si>
  <si>
    <t>1948-1743 BC</t>
  </si>
  <si>
    <t>&lt; 1948-1743 BC</t>
  </si>
  <si>
    <t>Dougan-3</t>
  </si>
  <si>
    <t>&lt; 1449 AD</t>
  </si>
  <si>
    <t>&gt; 1632 AD</t>
  </si>
  <si>
    <t xml:space="preserve">Dougan Combined </t>
  </si>
  <si>
    <t>822 ± 81</t>
  </si>
  <si>
    <t>5 events in c. 4000 years used. 760 ± 280 calculated range.</t>
  </si>
  <si>
    <t xml:space="preserve">Age from Dougan-2. More conservative age is 1449-1666 AD. </t>
  </si>
  <si>
    <t>1183-1290 AD</t>
  </si>
  <si>
    <t>Age from Dougan-1 and -2 trenches, different age than what is reported above. Min age Dougan-1. Use min age from Dougan 2 as max here.</t>
  </si>
  <si>
    <t>44 BC - AD 253</t>
  </si>
  <si>
    <t xml:space="preserve">Age from Dougan-1 trench. State that more conservative age is also their preferred estimate. </t>
  </si>
  <si>
    <t>1828-3690 cal. yr BP</t>
  </si>
  <si>
    <t>Recognised in Dougan-1 as fault horizon and also in Dougan-2 as unconformities. No rigorous dating to constrain this event age. Different age reported for Dougan-1 Trench.</t>
  </si>
  <si>
    <t>1518-1948 BC</t>
  </si>
  <si>
    <t>Based on evidence from Dougan-1 and Dougan-2.</t>
  </si>
  <si>
    <t>Te Kopahou-1 Trenches</t>
  </si>
  <si>
    <t xml:space="preserve">690-795 cal. yr BP </t>
  </si>
  <si>
    <t>&gt;790-930 cal. yr BP</t>
  </si>
  <si>
    <t>~1835-2340 cal. yr BP</t>
  </si>
  <si>
    <t xml:space="preserve">&gt;2460 cal. yr BP </t>
  </si>
  <si>
    <t>Long Gully Trench 1</t>
  </si>
  <si>
    <t>560-930 cal. yr BP</t>
  </si>
  <si>
    <t>Long Gully Trench 2</t>
  </si>
  <si>
    <t>&lt;2330 cal. yr BP</t>
  </si>
  <si>
    <r>
      <rPr>
        <sz val="10"/>
        <color theme="1"/>
        <rFont val="Calibri"/>
        <family val="2"/>
      </rPr>
      <t>≥</t>
    </r>
    <r>
      <rPr>
        <sz val="10"/>
        <color theme="1"/>
        <rFont val="Calibri"/>
        <family val="2"/>
        <scheme val="minor"/>
      </rPr>
      <t>3380-3540 cal. yr BP</t>
    </r>
  </si>
  <si>
    <t>Long Gully Trench 6</t>
  </si>
  <si>
    <t>300-450 cal. yr BP</t>
  </si>
  <si>
    <t>Long Gully 7/Karori Trench 7</t>
  </si>
  <si>
    <t>&lt;840-1000 cal. yr BP</t>
  </si>
  <si>
    <t>92 Pharazyn Street (Trench 2)</t>
  </si>
  <si>
    <t>&gt;282-446 cal. yr BP</t>
  </si>
  <si>
    <t>Ian R Brown Associates Ltd (1995)</t>
  </si>
  <si>
    <t>&lt;643-783 cal. yr BP</t>
  </si>
  <si>
    <t>12 Parliament Street (Trench 4)</t>
  </si>
  <si>
    <t>293-427 cal. yr BP</t>
  </si>
  <si>
    <t>&lt;3152-3341 cal. yr BP</t>
  </si>
  <si>
    <t>TM-1 Trench</t>
  </si>
  <si>
    <t>110-310 cal. yr BP</t>
  </si>
  <si>
    <t>TM-3 Trench</t>
  </si>
  <si>
    <t>Te Marua OSL</t>
  </si>
  <si>
    <t>≤4.5 ± 0.4 ka</t>
  </si>
  <si>
    <t xml:space="preserve">Te Marua </t>
  </si>
  <si>
    <t>&lt;310-470 cal. yr BP</t>
  </si>
  <si>
    <t>670-830 cal. yr BP</t>
  </si>
  <si>
    <t>KAF-1</t>
  </si>
  <si>
    <t>&lt;555-896 cal. yr BP</t>
  </si>
  <si>
    <t>555-896 cal. yr BP</t>
  </si>
  <si>
    <t>555-896 - 7290-8380 cal. yr BP</t>
  </si>
  <si>
    <t>7290-8380 cal. yr BP</t>
  </si>
  <si>
    <t>c. 8200-8965 cal. yr BP</t>
  </si>
  <si>
    <t>8392-11600 cal. yr BP</t>
  </si>
  <si>
    <t>8650-11600 cal. yr BP</t>
  </si>
  <si>
    <t>&gt;11233-11600 cal. yr BP</t>
  </si>
  <si>
    <t>KAF-3</t>
  </si>
  <si>
    <t>&lt;2498-3395 cal. yr BP</t>
  </si>
  <si>
    <t>&lt;c. 3395 cal. yr BP</t>
  </si>
  <si>
    <t>Event is inferred based on Te Marua record, as discussed below.</t>
  </si>
  <si>
    <t>2500-4230 cal. yr BP</t>
  </si>
  <si>
    <t>Combined Te Kopahou, Long Gully/ Te Marua, Kaitoke</t>
  </si>
  <si>
    <t>c. 920 (800-1040)</t>
  </si>
  <si>
    <t>Use max/min ages from each event to define bounds of each individual RI and then average.</t>
  </si>
  <si>
    <t>1640-1840 AD</t>
  </si>
  <si>
    <t xml:space="preserve">Recorded in Long Gully, Kaitoke, Te Marua. Max age from TMT-1, suggest Le occurred since 310 cal. yr BP. Assume historic constraint on minimum age i.e. 1840 European arrival. </t>
  </si>
  <si>
    <t>790-895 cal. yr BP</t>
  </si>
  <si>
    <t>Recorded at most sites. Best min age estimate from Sample TK1-6 in Te Kopahou 1 (TK-1). Best max age estimate from Kaitoke KAF-1 Trench. Combine to get this new age estimate for PE.</t>
  </si>
  <si>
    <t>1835-2340 cal. yr BP</t>
  </si>
  <si>
    <t>Age constraints come from TK-1 Te Kopahou 1 and are supported by Long Gully ages. Min and max ages are from samples TK1-5 and TK1-3 respectively.</t>
  </si>
  <si>
    <t>2500-4225 cal. yr BP</t>
  </si>
  <si>
    <t>Kaitoke KAF-3 Trench ages used to constrain both min and max ages (samples KAF-3/6 and KAF-3/5 respectively). Discuss uncertainty in ages from Te Marua, TK-1 and how the authors decided to use sample KAF-3/6 to constrain min age (not used in trench site discussion)</t>
  </si>
  <si>
    <t xml:space="preserve">Combined Kaitoke/Long Gully (Wellington Hutt Valley 3) and Te Marua </t>
  </si>
  <si>
    <t xml:space="preserve">Date taken from Long Gully Trench 6. Assumed that there has been no historical surface rupture along the Wellington-Hutt Valley segment of the Wellington Fault. All ages are stated in ± 1  sigma, 2 sigma not given. </t>
  </si>
  <si>
    <t xml:space="preserve">Date taken from Kaitoke Trench 2. This age corresponds relatively well to the Long Gully ages i.e. bracketed between 560-670 and 790-930 cal. yr BP. All ages are stated in ± 1  sigma, 2 sigma not given. </t>
  </si>
  <si>
    <r>
      <t>EQ</t>
    </r>
    <r>
      <rPr>
        <b/>
        <sz val="10"/>
        <color theme="1"/>
        <rFont val="Calibri"/>
        <family val="2"/>
      </rPr>
      <t>≥3</t>
    </r>
  </si>
  <si>
    <t>3380-3540 cal. yr BP</t>
  </si>
  <si>
    <t>Older event at Long Gully 2, but not sure what event number it is along fault. Reported as minimum age at Long Gully 2 but in text brackets age.</t>
  </si>
  <si>
    <t xml:space="preserve">Combined Te Kopahou and Te Marua </t>
  </si>
  <si>
    <t>~715</t>
  </si>
  <si>
    <t>Minimum three-event RI, subtracting the max T1 and min Tn (minimum difference between LE and EQ4).</t>
  </si>
  <si>
    <t>110-310 cal.. yr BP</t>
  </si>
  <si>
    <t xml:space="preserve">From TM-1. Fault parallel trench. Evidence is offset T2 and surficial features such as channels. Two samples were dated (TM1-10 and TM-20), the latter was used to constrain the maximum age assuming that they were deposited immediately before terrace abandonment. Rounded maximum age to 310 in paper. Assumed no historic rupture, so AD 1840 for minimum. (2 sigma). </t>
  </si>
  <si>
    <t>~1145</t>
  </si>
  <si>
    <t>Median value for intervent time</t>
  </si>
  <si>
    <t>From Tk-1, Max age from Van Dissen (1992) Inferred from extensive inferred colluvial wedge (unit 2c) formed in response to PE. Three C14 samples (TK1-6, TK1-7, TK1-10) taken from the peats that overlie unit 2 (postdate the event). Sample TK1-6 yielded best minimum age of event. Max age could come from charred wood in paleosol unit 30-s beneath unit 2c (TK1-5). However because of number and quality of samples they preferred the minimum age. Ages reported in 2 sigma and rounded to nearest 5 place.</t>
  </si>
  <si>
    <t>~1575</t>
  </si>
  <si>
    <t xml:space="preserve">Maximum four-event RI, subtracting the min T1 from the max Tn </t>
  </si>
  <si>
    <t>Ages from TK-1, evidence in other trenches. TK-1 had no direct fault evidence for this and later events, however this event had a clear event horizon in TK-2, so used stratigraphy from TK-2 to assist with EQ3/EQ4. Minimum age from wood (Sample TK1-5) in a paleosol unit that overlies colluvium unit 3c. Maximum age comes from two samples (Tk1-3 and TK1-4), and the younger of the two ages was used to constrain the max range (TK1-3). Ages reported in 2 sigma and rounded up to nearest 5.</t>
  </si>
  <si>
    <t>2460 cal. yr BP to ~4.9 ka</t>
  </si>
  <si>
    <t>Minimum age from base of unit 4sp in TK-1. Age in 2 sigma. Maximum age is ~4.9 ka inferred from the age of T6 at Te Marua which is inferred to have been displaced by four events. This is the maximum range of the OSL date from Little et al (2010). In 1 sigma.</t>
  </si>
  <si>
    <t>Riverslea (RVL-2)</t>
  </si>
  <si>
    <t>497-897 cal. yr BP</t>
  </si>
  <si>
    <t>Riverslea (RV-1)</t>
  </si>
  <si>
    <t>&lt;1300 cal. yr BP</t>
  </si>
  <si>
    <t>c. 1300</t>
  </si>
  <si>
    <t>Whitemans Valley Trench</t>
  </si>
  <si>
    <t>&lt;10,000</t>
  </si>
  <si>
    <t>Event occurred within last 10,000 yr assuming that the B horizon (unit 11) developed in the last several thousand years.</t>
  </si>
  <si>
    <t>Bracketed by radiocarbon dates from wood in unfaulted peat and faulted mixed unit. Calibrated using Stuiver and Pearson (1986) and Pearson and Stuiver (1986) using a southern hemisphere correction of -30 C14 years, 1 sigma uncertainties. Also possible LE could be &lt;560-670 cal. yr BP.</t>
  </si>
  <si>
    <t xml:space="preserve">Maximum age from wood in fault gouge, calibrated using Stuiver and Pearson (1986) and Pearson and Stuiver (1986) using a southern hemisphere correction of -30 C14 years, 1 sigma uncertainties. </t>
  </si>
  <si>
    <t>Age from branch in fissure and assumed to date fissure formation during or shortly after an earthquake. Calibrated using Stuiver and Pearson (1986) and Pearson and Stuiver (1986) using a southern hemisphere correction of -30 C14 years, 1 sigma uncertainties. Older deformed peats ages of 9000-10000 yrs BP but cannot deduce how many events.</t>
  </si>
  <si>
    <t>Bracketed by radiocarbon ages of  wood within and below colluvial wedge, calibrated using Stuiver and Pearson (1986) and Pearson and Stuiver (1986) using a southern hemisphere correction of -30 C14 years, 1 sigma uncertainties.</t>
  </si>
  <si>
    <t>Minimum age from radiocarbon date of wood in unfaulted channel, calibrated using Stuiver and Pearson (1986) and Pearson and Stuiver (1986) using a southern hemisphere correction of -30 C14 years, 1 sigma uncertainties.</t>
  </si>
  <si>
    <t xml:space="preserve">Minimum age from charcoal in unfaulted fluvial unit, calibrated using Stuiver and Pearson (1993) with a 40 year southern hemisphere offset from Vogel et al. (1993), 1 sigma uncertainties. </t>
  </si>
  <si>
    <t xml:space="preserve">Maximum age from humic material in disturbed zone, calibrated using Stuiver and Pearson (1993) with a 40 year southern hemisphere offset from Vogel et al. (1993), 1 sigma uncertainties. </t>
  </si>
  <si>
    <t xml:space="preserve">Radiocarbon age of tree-fern log interpreted to have fallen from growth position on the face of the scarp and to bracket the age of the LE. Calibrated using Stuiver and Pearson (1993) with a 40 year southern hemisphere offset from Vogel et al. (1993), 1 sigma uncertainties. </t>
  </si>
  <si>
    <t>Maximum radiocarbon age of wood in faulted gravel, calibrated using Stuiver and Pearson (1993) with a 40 year southern hemisphere offset from Vogel et al. (1993), 1 sigma uncertainties. Considered could be events missing bettween this and LE.</t>
  </si>
  <si>
    <t xml:space="preserve">≥675 cal. yr BP </t>
  </si>
  <si>
    <t>Maximum age from charcoal in faulted fluvial gravel, calibrated using SHCal04, 2 sigma uncertainties. Terrace inferred to be faulted by 3 events.</t>
  </si>
  <si>
    <t>Maximum age from OSL age for faulted terrace (from Little et al. 2010) and inferred to have been faulted by 4 events.  1 sigma uncertainties.</t>
  </si>
  <si>
    <t>Maximum age from radiocarbon date of charcoal from faulted fluvial terrace, calibrated using Stuiver and Pearson (1986) and Pearson and Stuiver (1986) using a southern hemisphere correction of -30 C14 years, 1 sigma uncertainties.</t>
  </si>
  <si>
    <t>Radiocarbon age of outer part of buried tree considered to approximate the timng of the LE. Calibrated using Stuiver and Pearson (1986) and Pearson and Stuiver (1986) using a southern hemisphere correction of -30 C14 years, 1 sigma uncertainties.</t>
  </si>
  <si>
    <t>Langridge et al. (2009)</t>
  </si>
  <si>
    <t>Maximum radiocarbon age of wood in faulted peaty gravelly clay, calibrated using Calib4.3 and southern hemisphere correction of -27 C14 years from McCormac et al. (1998), 2 sigma uncertainties.</t>
  </si>
  <si>
    <t>Radiocarbon age from wood in peaty gravelly clay inferred to be co-seismic, calibrated using Calib4.3 and southern hemisphere correction of -27 C14 years from McCormac et al. (1998), 2 sigma uncertainties.</t>
  </si>
  <si>
    <t>From radiocarbon ages of 2 wood samples in gravelly clay inferred to be co-seismic, calibrated using Calib4.3 and southern hemisphere correction of -27 C14 years from McCormac et al. (1998), 2 sigma uncertainties.</t>
  </si>
  <si>
    <t>Age from wood in organic silt inferred to be co-seismic (ponded agains the scarp). Calibrated using Calib4.3 and southern hemisphere correction of -27 C14 years from McCormac et al. (1998), 2 sigma uncertainties.</t>
  </si>
  <si>
    <t>Radiocarbon age of wood in inferred coseismic debris deposit.  from the PE. Calibrated using Calib4.3 and southern hemisphere correction of -27 C14 years from McCormac et al. (1998), 2 sigma uncertainties</t>
  </si>
  <si>
    <t xml:space="preserve">Radiocarbon age of wood from silty sand and silty gravel inferred to have formed by ponded behind the fault scarp. Calibrated using Calib4.3 and southern hemisphere correction of -27 C14 years from McCormac et al. (1998), 2 sigma uncertainties. NB Reported age does match C14 age of WFA2 (281-488 cal. yr BP). </t>
  </si>
  <si>
    <t>Maximum from radiocarbon age of wood from faulted silty gravel, calibrated using Calib4.3 and southern hemisphere correction of -27 C14 years from McCormac et al. (1998), 2 sigma uncertainties. Refined by assuming that the unit is co-temporal with rupture and also assume no historic rupture.</t>
  </si>
  <si>
    <t>From radiocarbon age of wood deposited immediately after event, calibrated using Calib4.3 and southern hemisphere correction of -27 C14 years from McCormac et al. (1998), 2 sigma uncertainties.</t>
  </si>
  <si>
    <t>From radiocarbon date of twigs deposited immediately after event, calibrated using Calib4.3 and southern hemisphere correction of -27 C14 years from McCormac et al. (1998), 2 sigma uncertainties.</t>
  </si>
  <si>
    <t>From 5 radiocarbon ages from wood, bark, twigs in mixed fault zone unit interpreted to be co-seismic. Calibrated using Calib4.3 and southern hemisphere correction of -27 C14 years from McCormac et al. (1998), 2 sigma uncertainties.</t>
  </si>
  <si>
    <t>Bracketed by radiocarbon ages from bark, twigs, leaves in faulted and unfaulted units. Calibrated using Calib4.3 and southern hemisphere correction of -27 C14 years from McCormac et al. (1998), 2 sigma uncertainties. Text reports uncalibrated ages.</t>
  </si>
  <si>
    <t>Maximum age from radiocarbon date of wood from faulted peat, calibrated using Calib4.3 and southern hemisphere correction of -27 C14 years from McCormac et al. (1998), 2 sigma uncertainties.</t>
  </si>
  <si>
    <t>From radiocarbon age of wood in peat inferred to be coseismic (ponding), calibrated using Calib4.3 and southern hemisphere correction of -27 C14 years from McCormac et al. (1998), 2 sigma uncertainties.</t>
  </si>
  <si>
    <t>No age constraints, except assume that it is younger than PE. Calibrated using Calib4.3 and a southern hemisphere offset of -27 C14 years, 2 sigma uncertainties.</t>
  </si>
  <si>
    <t>Trough-filling silt only constrained by the ages of EQ2 and EQ4 and span a 6000 year depositional break.</t>
  </si>
  <si>
    <t xml:space="preserve">Bracketed by same ages as EQ6 (Event C). Referred to as Event D. </t>
  </si>
  <si>
    <t>Bracketed by same ages as EQ6 (Event C). Referred to as Event E. State that this event appears to be the most uncertain in terms of earthquake evidence.</t>
  </si>
  <si>
    <t>Colluvium overlying faults is assumed to be LE. No age control.</t>
  </si>
  <si>
    <t>Maximum age from radiocarbon date from faulted colluvial wedge and considered to pre-date 2 events. Calibrated using Calib4.3 and a southern hemisphere offset of -27 C14 years, 2 sigma uncertainties.</t>
  </si>
  <si>
    <t>Evidence includes burial of paleosol formed on unit 6. Max age constrained by charcoal from lower part of the paleosol.  Assume this is the fourth event based on comparisons to Te Marua paleoearthquake history.</t>
  </si>
  <si>
    <t>Minimum age from radiocarbon date of wood in fine sand considered to have ponded behind the LE scarp. Calibrated using Calib4.3 and southern hemisphere correction of -27 C14 years from McCormac et al. (1998), 2 sigma uncertainties.</t>
  </si>
  <si>
    <t xml:space="preserve">Minimum age from radiocarbon date of peat inferred to have formed by ponding after the PE. Calibrated using Calib4.3 and southern hemisphere correction of -27 C14 years from McCormac et al. (1998), 2 sigma uncertainties. </t>
  </si>
  <si>
    <t xml:space="preserve">Bracketed by radiocarbon ages above and below an unconformity that truncated the fault planes. Calibrated using Calib4.3 and southern hemisphere correction of -27 C14 years from McCormac et al. (1998), 2 sigma uncertainties.Suggest there may have been a younger event (LE) recorded in the trench but could not date. </t>
  </si>
  <si>
    <t xml:space="preserve">Bracketed by peat radiocarbon ages from above and below the event horizon, calibrated using CALIB4.3 and a southern hemisphere offset of -27 C14 years (McCormac et al. 1998), 2 sigma uncertainties. Further constrained to pre 1840 AD. </t>
  </si>
  <si>
    <t xml:space="preserve">From radiocarbon date of ponga branch considered to likely date the event. Calibrated using CALIB4.3 and a southern hemisphere offset of -27 C14 years (McCormac et al. 1998), 2 sigma uncertainties. </t>
  </si>
  <si>
    <t>Bracketed from peat above and below event horizon, calibrated using CALIB4.3 and a southern hemisphere offset of -27 C14 years (McCormac et al. 1998), 2 sigma uncertainties. Alternative age of AD 122-16 assuming Unit pmx is co-seismic and no residence time for organic materials sampled.</t>
  </si>
  <si>
    <t>Event horizon not directly dated, but broadly constrained from higher and lower radiocarbon ages. Calibrated using CALIB4.3 and a southern hemisphere offset of -27 C14 years (McCormac et al. 1998), 2 sigma uncertainties.  Assume min age is Sample 1P4bw, left blank in text.</t>
  </si>
  <si>
    <t>Minimum age from faulted peat. Calibrated using CALIB4.3 and a southern hemisphere offset of -27 C14 years (McCormac et al. 1998), 2 sigma uncertainties.</t>
  </si>
  <si>
    <t xml:space="preserve">Two radiocarbon dates from peat inferred to be coseismic. Calibrated using CALIB4.3 and a southern hemisphere offset of -27 C14 years (McCormac et al. 1998), 2 sigma uncertainties. </t>
  </si>
  <si>
    <t>Bracketed by radiocarbon ages of unfaulted and faulted peat. Calibrated using CALIB4.3 and a southern hemisphere offset of -27 C14 years (McCormac et al. 1998), 2 sigma uncertainties. Can be further refined to AD 1655-1666 from overlap time of two ages.</t>
  </si>
  <si>
    <t>Bracketed by radiocarbon ages from peat above and below event horizon, calibrated using CALIB4.3 and a southern hemisphere offset of -27 C14 years (McCormac et al. 1998), 2 sigma uncertainties.</t>
  </si>
  <si>
    <t>Evidence includes termination of faults within a peat. Dating poor because of complicated structural relationships and potential for reworking, but two ages from above and below event horizon gave the same age. Calibrated using CALIB4.3 and a southern hemisphere offset of -27 C14 years (McCormac et al. 1998), 2 sigma uncertainties.</t>
  </si>
  <si>
    <t>Maximum age from radiocarbon date of folded peat. Calibrated using CALIB4.3 and a southern hemisphere offset of -27 C14 years (McCormac et al. 1998), 2 sigma uncertainties.</t>
  </si>
  <si>
    <t xml:space="preserve">Maximum age from radiocarbon age of charcoal in gravel below faulted unit. Calibrated using CALIB4.3 and a southern hemisphere offset of -27 C14 years (McCormac et al. 1998), 2 sigma uncertainties. </t>
  </si>
  <si>
    <t xml:space="preserve">Minimum age from radiocarbon age of charcoal in gravel above event horizon (same sample as for EQ1). Calibrated using CALIB4.3 and a southern hemisphere offset of -27 C14 years (McCormac et al. 1998), 2 sigma uncertainties. </t>
  </si>
  <si>
    <t>Inferred from a colluvial wedge. No dateable material found in the trench; maximum age inferred for age of terrace based on absence of loess.</t>
  </si>
  <si>
    <t>Inferred from lateral displacement variation between the different aged terraces, i.e. the older terrace has 2-3 times more offset than the lower terrace. No dateable material found in the trench; maximum age inferred for age of terrace based on absence of loess.</t>
  </si>
  <si>
    <t>Maximum age from radiocarbon date of deformed peat, calibrated using Stuiver and Reimer (1993) and southern hemisphere correction of-27 C14 years, 2 sgma uncertaintites.</t>
  </si>
  <si>
    <t>From ponding of peat deposits that were later deformed in LE. Bracketed by radiocarbon ages of wood and peat, calibrated using Stuiver and Reimer (1993) and southern hemisphere correction of-27 C14 years, 2 sgma uncertaintites.</t>
  </si>
  <si>
    <t>Maximum age from radiocarbon age of faulted peat but could be contaminated with modern roots. 2 sigma. Interpreted to represent a rupture in the 1855 Wairarapa EQ.</t>
  </si>
  <si>
    <t>Maximum age from radiocarbon date of peat in colluvial wedge  but could be contaminated by roots. Interpreted to have represent a rupture in the 1855 AD Wairarapa EQ.</t>
  </si>
  <si>
    <t>Inferred from initial ponding and accumulation of peat. Bracketed by radiocarbon ages from wood in fault zone and oldest faulted peat, calibrated using Stuiver and Reimer (1993) and southern hemisphere correction of-27 C14 years, 2 sigma uncertaintites.</t>
  </si>
  <si>
    <t>Event inferred from initial ponding and accumulation of peat deposits that were later deformed. Minimum age from faulted peat, calibrated using Stuiver and Reimer (1993) and southern hemisphere correction of-27 C14 years, 2 sigma uncertaintites.</t>
  </si>
  <si>
    <t>Event inferred from other colluvial/coseismic deposits in trench. Maximum age from radiocarbon date of charcoal in colluvial wedge, calibrated using Stuiver and Reimer (1993) and southern hemisphere correction of-27 C14 years, 2 sigma uncertaintites. Possible older event but no dateable material.</t>
  </si>
  <si>
    <r>
      <t xml:space="preserve">From vertical seperation of a seismic reflection growth sequence. Age from sedimentation rate constrained by 9 radiocarbon dates calibrated using MARINE13 and </t>
    </r>
    <r>
      <rPr>
        <sz val="10"/>
        <color theme="1"/>
        <rFont val="Calibri"/>
        <family val="2"/>
      </rPr>
      <t>ΔR = 4 ± 23 years).</t>
    </r>
    <r>
      <rPr>
        <sz val="10"/>
        <color theme="1"/>
        <rFont val="Calibri"/>
        <family val="2"/>
        <scheme val="minor"/>
      </rPr>
      <t xml:space="preserve"> Median ± 2 sigma.</t>
    </r>
  </si>
  <si>
    <t>Bracketed by radiocarbon dates of charcoal from faulted and unfaulted units. Calibration method not stated. Reported in text as uncalibrated ages, 2 sigma calibrated ages given in Appendix 1. Could be another event in this time interval.</t>
  </si>
  <si>
    <t>At least one event between the oldest radiocarbon date (wood) in the trench and the c. 10-14 ka Waiohine surface.</t>
  </si>
  <si>
    <t>Fault relations not directly observed but maximum age from radiocarbon age of wood in organic silt if assume it is reworked. Reported age in text is uncalibrated C14 age (sample VW6), 2 sigma age is 11,297-12,258 cal. yr BP; calibration method not stated.</t>
  </si>
  <si>
    <t>Faulting relations are not observed, but inferred from colluvial deposit. Minimum radiocarbon age from wood in silt above colluvial wedge. Calibration method not stated, 2 sigma uncertainties.</t>
  </si>
  <si>
    <r>
      <t xml:space="preserve">Evidence for event includes draping of unit POZ into fault zone (fissure). Bracketed by radiocarbon age from wood above faulted colluvial wedge and peat in fissure. Calibration method not stated, </t>
    </r>
    <r>
      <rPr>
        <sz val="10"/>
        <color theme="1"/>
        <rFont val="Calibri"/>
        <family val="2"/>
      </rPr>
      <t>Max age constraint uncertainty is reported in 1 sigma, min age in 2 sigma.</t>
    </r>
  </si>
  <si>
    <t>Evidence for an event includes deformation of peat P3 and OZ1 that were dragged into fissure during EQ1. Bracketed by radiocarbon ages of peat in fissure and seeds from overlying peat. May not be an earthquake event.</t>
  </si>
  <si>
    <t>Inferred from warping of peat, pinching unconformity relations and trough-filling peats, but may not be an earthquake. Minimum age from radiocarbon date of deformed peat. Calibration method not stated, 2 sigma uncertainties.</t>
  </si>
  <si>
    <t>Bracketed from radiocarbon dates of faulted and unfaulted peat.  Calibrated using Stuiver and Reimer (1993) and southern Hemisphere offset of -27 years, 2 sigma uncertainties.</t>
  </si>
  <si>
    <t>Maximum age from radiocarbon date of wood in faulted peat. Calibrated using Stuiver and Reimer (1993) and southern Hemisphere offset of -27 years, 2 sigma uncertainties.</t>
  </si>
  <si>
    <t>Maximum age from charcoal radiocarbon age of youngest faulted unit.  Calibrated using Stuiver and Reimer (1993) and southern Hemisphere offset of -27 years, 2 sigma uncertainties.</t>
  </si>
  <si>
    <t>Maximum age from radiocarbon date of faulted peat. Calibrated using SHCal04. 2 sigma uncertainties.</t>
  </si>
  <si>
    <t>Bracketed by charcoal radiocarbon ages from unfaulted soil and faulted silty subsoil. Calibrated using SHCal04. 2 sigma uncertainties. This age could include more than one event (i.e. one predating the ~1000 year event recorded elsewhere).</t>
  </si>
  <si>
    <t>Minimum age from two radiocarbon dates of  charcoal in faulted units, calibrated using SHCal04. 2 sigma uncertainties.</t>
  </si>
  <si>
    <t>Bracketed by radiocarbon ages of youngest offset unit and soil in a fissure. Calibrated using SHCal04. 2 sigma uncertainties.</t>
  </si>
  <si>
    <t>Likely to be more than one event. OSL ages of loess coverbeds (Formento-Trigilio et al. 2003) suggests is a Porewan alluvial fan, of inferred age of 70-55 ka. So 55 ka is a surface age.</t>
  </si>
  <si>
    <t>Formento-Trigilio, M.L.; Burbank, D.W.; Nicol, A.; Shulmeister, J.; Rieser, U. 2003 River response to an active fold-and-thrust belt in a convergent margin setting, North Island, New Zealand. Geomorphology, 49(1-2): 125-152</t>
  </si>
  <si>
    <t>Viewfield Trench</t>
  </si>
  <si>
    <t>Clear RL offset on younger river terraces of Waitohu Stream, maximum age taken from age of Manawatu and Kairanga soils (ca. 1000 yr BP). Minimum age is inferred from soil development to be older than several hundred years.</t>
  </si>
  <si>
    <t>Maximum age inferred from soil development. Minimum age is inferred to be older than several hundred years.</t>
  </si>
  <si>
    <t xml:space="preserve">Used 2500 Monte Carlo samples to calculate a mean slip rate (1-2 mm/yr) and SED (3.7 m) while assuming a normal distribution. 800 and 7000 are min/max confidence intervals of above. </t>
  </si>
  <si>
    <r>
      <t>Litchfield, N.J.; Van Dissen, R.J.; Langridge, R.M.; Heron, D.W.; Prentice, C. 2004 Timing of the most recent surface rupture event on the Ohariu Fault near Paraparaumu, New Zealand : short communication.</t>
    </r>
    <r>
      <rPr>
        <i/>
        <sz val="10"/>
        <rFont val="Calibri"/>
        <family val="2"/>
        <scheme val="minor"/>
      </rPr>
      <t> New Zealand Journal of Geology and Geophysics, 47(1): </t>
    </r>
    <r>
      <rPr>
        <sz val="10"/>
        <rFont val="Calibri"/>
        <family val="2"/>
        <scheme val="minor"/>
      </rPr>
      <t>123-127; doi: 10.1080/00288306.2004.9515041</t>
    </r>
  </si>
  <si>
    <r>
      <t>Litchfield, N.J.; Van Dissen. R.J.; Hemphill-Haley, M.; Townsend, D.B.; Heron, D.W. 2010 Post c.300 year rupture of the Ohariu Fault in Ohariu Valley, New Zealand.</t>
    </r>
    <r>
      <rPr>
        <i/>
        <sz val="10"/>
        <rFont val="Calibri"/>
        <family val="2"/>
        <scheme val="minor"/>
      </rPr>
      <t> New Zealand Journal of Geology and Geophysics, 53(1): </t>
    </r>
    <r>
      <rPr>
        <sz val="10"/>
        <rFont val="Calibri"/>
        <family val="2"/>
        <scheme val="minor"/>
      </rPr>
      <t>43-56</t>
    </r>
  </si>
  <si>
    <t>Minimum radiocarbon age from wood in faulted silt.  Calibrated using Stuiver and Reimer (1993) and southern Hemisphere offset of McCormac et al. (2002), 2 sigma uncertainties.</t>
  </si>
  <si>
    <t>Minimum age from radiocarbon age of branch in peat. Calibrated using Stuiver and Pearson (1993) and no southern Hemisphere correction. Ages in text are reported in 1 sigma, appendix 3 gives them in 2 sigma.</t>
  </si>
  <si>
    <t>Maximum radiocarbon age from wood at base of ponded deposits. Calibrated using Stuiver and Pearson (1993) and no southern Hemisphere correction.  Ages in text are reported in 1 sigma, appendix 3 gives them in 2 sigma.</t>
  </si>
  <si>
    <t>Stump buried in an unfaulted terrace along strike of the fault was dated and it was assumed to provide a minimum age for the event. Calibrated using Stuiver and Pearson (1993) and no southern Hemisphere correction.  Ages in text are reported in 1 sigma, appendix 3 gives them in 2 sigma.</t>
  </si>
  <si>
    <t>Bracketed by radiocarbon dates of faulted and unfaulted peat, calibrated using Stuiver and Pearson (1993) and no southern Hemisphere correction.  Ages in text are reported in 1 sigma, appendix 3 gives them in 2 sigma.</t>
  </si>
  <si>
    <t xml:space="preserve">Bracketed by radiocarbon dates of bark in faulted unit and charcoal in unfaulted unit. Calibrated using Stuiver and Pearson (1993) and no southern Hemisphere correction.  Ages in text are reported in 1 sigma, appendix 3 gives them in 2 sigma. </t>
  </si>
  <si>
    <t>From a colluvial wedge and event horizon. No age control.</t>
  </si>
  <si>
    <t>From a faulted colluvial wedge. No age control.</t>
  </si>
  <si>
    <t xml:space="preserve">From a faulted colluvial wedge. Maximum age from charcoal and roots beneath colluvial wedge (960-1280 cal. yr BP; calibrated using Stuiver and Pearson (1993) and no southern Hemisphere correction) considered to be contaminated with modern roots. </t>
  </si>
  <si>
    <t>Maximum radiocarbon age from charcoal in auger hole. Calibrated using Stuiver and Pearson (1993) and no southern Hemisphere correction. Also discussed radiocarbon age of roots that may record an EQ-induced change in sediment deposition (2340-2470; cal.yr BP; 2 sigma).</t>
  </si>
  <si>
    <t>&lt;29470 ± 380 C14 yrs BP</t>
  </si>
  <si>
    <r>
      <t>Grant-Taylor, T.L. 1974 Appendix 1: working report, geology of Wellington urban area. p. 13-22 IN: Grant-Taylor, T.L.; Adams, R.D.; Hatherton, T.; Milne, J.D.G.; Northey, R.D.; Stephenson, W.R. </t>
    </r>
    <r>
      <rPr>
        <i/>
        <sz val="10"/>
        <rFont val="Calibri"/>
        <family val="2"/>
        <scheme val="minor"/>
      </rPr>
      <t>Microzoning for earthquake effects in Wellington.</t>
    </r>
    <r>
      <rPr>
        <sz val="10"/>
        <rFont val="Calibri"/>
        <family val="2"/>
        <scheme val="minor"/>
      </rPr>
      <t> Wellington: DSIR. </t>
    </r>
    <r>
      <rPr>
        <i/>
        <sz val="10"/>
        <rFont val="Calibri"/>
        <family val="2"/>
        <scheme val="minor"/>
      </rPr>
      <t>DSIR Bulletin 213.</t>
    </r>
  </si>
  <si>
    <t>&lt;0-437 cal. yr BP</t>
  </si>
  <si>
    <t>Radiocarbon age of charcoal from faulted alluvial fan. Possibly a maximum age of a small, secondary event. Calibrated age recorded here is from Litchfield (2010). Calibrated using SHCal04. 2 sigma uncertainties.</t>
  </si>
  <si>
    <t>Beach Ridge 2 interpretedt to have been uplifted in the 1855 Wairarapa EQ.</t>
  </si>
  <si>
    <t>Event of unknown magnitude occurred at c. 7000 BC, unrecorded due to rapidly rising sea-level. Not sure what samples were used to constrain this age, assume it would be the oldest C14 ages.</t>
  </si>
  <si>
    <t xml:space="preserve">Sudden shallowing interpreted in upper part of zone E and is considered to be recent, but not dated. Is assumed to be the 1855 Wairarapa EQ. </t>
  </si>
  <si>
    <t>Transition A-B marked by deposition of layer of sand. Radiocarbon age from immediately above, calibrated using INTCAL98 (Stuiver et al. 1998), 2 sigma uncertainties.</t>
  </si>
  <si>
    <t>Transition B-C marked by deposition of sand and wood fragments and initiation of deep water phase. Age estimated using the average sediment accumulation rate constrained by  radiocarbon ages. Calibrated using INTCAL98 (Stuiver et al. 1998), 2 sigma uncertainties.</t>
  </si>
  <si>
    <t>Transition C-D marked by shallowing of lake as determined from diatom assemblages. Age estimated using the average sediment accumulation rate constrained by  radiocarbon ages. Calibrated using INTCAL98 (Stuiver et al. 1998), 2 sigma uncertainties.</t>
  </si>
  <si>
    <t>Transition D-E marked by shallowing of lake. Age estimated using the average sediment accumulation rate constrained by  radiocarbon ages. Calibrated using INTCAL98 (Stuiver et al. 1998), 2 sigma uncertainties.</t>
  </si>
  <si>
    <r>
      <t xml:space="preserve">Event (Horizon C-D) inferred from shallowing of wetland and decrease in salinity. Age estimated using the average sediment accumulation rate constrained by  radiocarbon ages. Calibrated using INTCAL98 (Stuiver et al. 1998) and </t>
    </r>
    <r>
      <rPr>
        <sz val="10"/>
        <color theme="1"/>
        <rFont val="Calibri"/>
        <family val="2"/>
      </rPr>
      <t>ΔR = -7 ± 45 years, 2 sigma uncertainties.</t>
    </r>
  </si>
  <si>
    <t>Event (Horizon B-C) inferred by the sudden and complete disappearance of brackish samples and increases in salt intolerant and subaerial diatoms. Estimated using the average sediment accumulation rate constrained by  radiocarbon ages. Calibrated using INTCAL98 (Stuiver et al. 1998)and ΔR = -7 ± 45 years, 2 sigma uncertainties.</t>
  </si>
  <si>
    <t>Event (Horizon A-B) inferred from sudden change in environment marked by a rapid change in diatom assemblage over 3cm. Bracketed by radiocarbon ages of wood and organics. Calibrated using INTCAL98 (Stuiver et al. 1998), 2 sigma uncertainties.</t>
  </si>
  <si>
    <t>Event inferred from paleoenvironment change (C-D) from marsh to lagoon. Two radiocarbon ages of wood, calibrated using INTCAL98 (Stuiver et al. 1998), 2 sigma uncertainties.</t>
  </si>
  <si>
    <t>Event (Horizon B-C) inferred from deposition of organic sediments (I.e. wood), pebbles, large shell fragments and peaks in brackish marine diatoms. Age estimated using the average sediment accumulation rate constrained by  radiocarbon ages. Calibrated using INTCAL98 (Stuiver et al. 1998) and ΔR = -7 ± 45 years, 2 sigma uncertainties.</t>
  </si>
  <si>
    <t>Event inferred by sharp contact (A-B) between sand and silty sand and increased salinity. Radiocarbon age of shell immediately above and constrained by  radiocarbon ages. Calibrated using INTCAL98 (Stuiver et al. 1998) and ΔR = -7 ± 45 years, 2 sigma uncertainties.</t>
  </si>
  <si>
    <r>
      <t xml:space="preserve">Radiocarbon ages of shells from uplifted beach ridge (BR3), calibrated using INTCAL98 (Stuiver et al., 1998) and </t>
    </r>
    <r>
      <rPr>
        <sz val="10"/>
        <color theme="1"/>
        <rFont val="Calibri"/>
        <family val="2"/>
      </rPr>
      <t xml:space="preserve">ΔR = 0 ± 13 years, 2 sgima uncertainties. </t>
    </r>
  </si>
  <si>
    <t>Radiocarbon ages of shells from uplifted beach ridge (BR4) and in situ 10Be surface-exposure dating. Calibrated using INTCAL98 (Stuiver et al., 1998) and ΔR = 0 ± 13 years, 2 sigma uncertainties.  In the discussion the minimum constraint is said to be 2760 assume that this is a typo.</t>
  </si>
  <si>
    <t xml:space="preserve">Radiocarbon ages of shells from uplifted beach ridge (BR5) and in situ 10Be surface-exposure dating. Calibrated using INTCAL98 (Stuiver et al., 1998) and ΔR = 0 ± 13 years, 2 sigma uncertainties. </t>
  </si>
  <si>
    <t>Pillans and Huber (1995)</t>
  </si>
  <si>
    <t>Pillans, B.; Huber, P. 1995 Interpreting coseismic deformation using Holocene coastal deposits, Wellington, New Zealand. Quaternary international, 26: 87-95</t>
  </si>
  <si>
    <t>Paleoshoreline (PS1) inferred to have been uplifted in the 1855 WairarapaEQ.</t>
  </si>
  <si>
    <r>
      <t xml:space="preserve">Uplifted paleoshoreline (PS2). Radiocarbon ages of shells calibrated from Stuiver et al. (1986), no mention of </t>
    </r>
    <r>
      <rPr>
        <sz val="10"/>
        <color theme="1"/>
        <rFont val="Calibri"/>
        <family val="2"/>
      </rPr>
      <t xml:space="preserve">ΔR, </t>
    </r>
    <r>
      <rPr>
        <sz val="10"/>
        <color theme="1"/>
        <rFont val="Calibri"/>
        <family val="2"/>
        <scheme val="minor"/>
      </rPr>
      <t xml:space="preserve"> 2 sigma uncertainties. </t>
    </r>
  </si>
  <si>
    <t>Stuiver, M.; Pearson, G.W.; Braziunas, T.F. 1986. Radiocarbon age calibration of marine samples back to 9000 cal. yr BP. Radiocarbon, 28: 980-1021.</t>
  </si>
  <si>
    <t xml:space="preserve">Uplifted paleoshoreline (PS3). Radiocarbon ages of shells calibrated from Stuiver et al. (1986), no mention of ΔR,  2 sigma uncertainties. Uplift of 1 m recorded on PS3. Note on page 93 they report a different maximum age constraint to that in table 3, here recorded is the age reported in the text. </t>
  </si>
  <si>
    <t>Uplifted paleoshoreline (PS4). Radiocarbon ages of shells calibrated from Stuiver et al. (1986), no mention of ΔR,  2 sigma uncertainties.</t>
  </si>
  <si>
    <t>Uplifted paleoshoreline (PS5). Radiocarbon ages of shells calibrated from Stuiver et al. (1986), no mention of ΔR,  2 sigma uncertainties.</t>
  </si>
  <si>
    <t xml:space="preserve">Uplifted paleoshoreline (PS6). Radiocarbon ages of shells calibrated from Stuiver et al. (1986), no mention of ΔR,  2 sigma uncertainties. </t>
  </si>
  <si>
    <t xml:space="preserve">Uplifted paleoshoreline (PS7). Radiocarbon ages of shells calibrated from Stuiver et al. (1986), no mention of ΔR,  2 sigma uncertainties. </t>
  </si>
  <si>
    <t>Uplifted paleoshoreline (PS8). Radiocarbon ages of shells calibrated from Stuiver et al. (1986), no mention of ΔR,  2 sigma uncertainties.</t>
  </si>
  <si>
    <t>Minimum age from radiocarbon date of charcoal from a burn event in above fill material from the younger offset channel. Calibrated using SHCal04 (McCormack et al., 2004), 2 sigma uncertainties, age in mode 1. Also second trench PB-2, but wasn’t used for dating events.</t>
  </si>
  <si>
    <t>McCormac, F.G., Hogg, A.G., Blackwell, P.G., Buck, C.E., Higham, T.F.G., and Reimer, P.G., 2004, SHCal04 southern Hemisphere calibration 0–1000 cal BP: Radiocarbon 46: 1087-1092.</t>
  </si>
  <si>
    <t>Maximum age from radiocarbon date  of faulted organic clay (Unit Om) and overlain by wire-bearing Unit wl, interpreted to be of modern age. Calibrated using SHCal04 (McCormac et al., 2004), 2 sigma uncertainties. Inferred to be 1855 earthquake.</t>
  </si>
  <si>
    <t xml:space="preserve">Inferred from colluvial wedge and bracketed be radiocarbon dates of organic clay. Calibrated using SHCal04 (McCormac et al., 2004), 2 sigma uncertainties. </t>
  </si>
  <si>
    <t xml:space="preserve">Inferred from colluvial wedge and bracketed be radiocarbon dates of organic clay. Calibrated using SHCal04 (McCormac et al., 2004), 2 sigma uncertainties. Preferred age is just from the maximum age, assumed to record the death of a tree from toppling prior to emplacement of wedge. </t>
  </si>
  <si>
    <t xml:space="preserve">Inferred from intrapeat unconformity and bracketed be radiocarbon dates of peat. Calibrated using SHCal04 (McCormac et al., 2004), 2 sigma uncertainties. </t>
  </si>
  <si>
    <t xml:space="preserve">Inferred from event horizon and to occur after peat deposition. Two peat radiocarbon ages calibrated using SHCal04 (McCormac et al., 2004), 2 sigma uncertainties. </t>
  </si>
  <si>
    <t xml:space="preserve">Inferred from colluvial wedge. Maximum age from radiocarbon date of wood from underlying unit, calibrated using SHCal04 (McCormac et al., 2004), 2 sigma uncertainties. </t>
  </si>
  <si>
    <t>SW wall of trench CC-4. Inferred from colluvial wedge, cwB and silt overlap of fault strand. Bracketed by radiocarbon ages of wood and organic clay, calibrated using SHCal04 (McCormac et al., 2004), 2 sigma uncertainties.  A sample from NE wall gave a maximum age of &lt;3830-4090 cal. yr BP.</t>
  </si>
  <si>
    <t xml:space="preserve">Inferred from large colluvial wedge. Bracketed by peat radiocarbon dates calibrated using SHCal04 (McCormac et al., 2004), 2 sigma uncertainties. </t>
  </si>
  <si>
    <t>Inferred from deformation of colluvial wedge. Maximum age from radiocarbon date of charcoal calibrated using SHCal04 (McCormac et al., 2004), 2 sigma uncertainties. Inferred to be 1855 Wairarapa EQ.</t>
  </si>
  <si>
    <t xml:space="preserve">Inferred from anticlinal bulging of peat and deposition of colluvial wedge. Maximum age from from radiocarbon date of charcoal calibrated using SHCal04 (McCormac et al., 2004), 2 sigma uncertainties. </t>
  </si>
  <si>
    <t>Inferred from colluvial wedge. Bracketed by radiocarbon dates of and organic clay calibrated using SHCal04 (McCormac et al., 2004), 2 sigma uncertainties.</t>
  </si>
  <si>
    <t>Inferred from colluvial wedge. Bracketed by radiocarbon dates of organic clay and peat, calibrated using SHCal04 (McCormac et al., 2004), 2 sigma uncertainties.</t>
  </si>
  <si>
    <t>Inferred from deformation of fissure-infilling sequences deposited in PE. Maximum age from radiocarbon ages of peat calibrated using SHCal04 (McCormac et al., 2004), 2 sigma uncertainties. Inferred to be the 1855 Wairarapa earthquake.</t>
  </si>
  <si>
    <t>Inferred from infilled fault fissures. Maximum age is from radiocarbon date of underlying peat calibrated using SHCal04 (McCormac et al., 2004), 2 sigma uncertainties.</t>
  </si>
  <si>
    <t>Inferred form colluvial wedge. Bracketed by radiocarbon dates of charcoal and organic clay calibrated using SHCal04 (McCormac et al., 2004), 2 sigma uncertainties.</t>
  </si>
  <si>
    <t>Inferred from colluvial wedge. Bracketed by radiocarbon dates of organic clay and peat calibrated using SHCal04 (McCormac et al., 2004), 2 sigma uncertainties.</t>
  </si>
  <si>
    <t>Maximum age radiocarbon date from peat underlying the youngest PE fissure fill from Trench CC-3, calibrated using SHCal04 (McCormac et al., 2004), 2 sigma uncertainties. Inferred to be the 1855 Wairarapa EQ.</t>
  </si>
  <si>
    <t>This event was interpreted in both northern trenches however is poorly temporally constrained. Maximum age from charcoal radiocarbon datecalibrated using SHCal04 (McCormac et al., 2004), 2 sigma uncertainties.</t>
  </si>
  <si>
    <t>Bracketed by radiocarbon dates of charcoal and organic clay, calibrated using SHCal04(McCormac et al., 2004) , 2 sigma uncertainties.</t>
  </si>
  <si>
    <t>Minimum and maximum ages from Trench CC-2. This would have given an age of 4840-5280 cal. yr BP. However the preferred/reported age is further constrained from Sample CC-2-38, on the basis that six similarly-aged wood samples represent toppled trees from this event from nearby. Radiocabron ages calibrated using SHCal04 (McCormac et al., 2004), 2 sigma uncertainties.</t>
  </si>
  <si>
    <t>Van Dissen and Berryman Trench (1990 - Unpublished)</t>
  </si>
  <si>
    <t>Cutten et al. (1988); Langridge et al. (2011a)</t>
  </si>
  <si>
    <r>
      <t>Langridge, R.M.; Zajac, A.; Ries, W. 2011a Fault avoidance zone mapping for Wairoa District, Napier City and surrounds. </t>
    </r>
    <r>
      <rPr>
        <i/>
        <sz val="10"/>
        <rFont val="Calibri"/>
        <family val="2"/>
        <scheme val="minor"/>
      </rPr>
      <t>GNS Science consultancy report 2010/105.</t>
    </r>
    <r>
      <rPr>
        <sz val="10"/>
        <rFont val="Calibri"/>
        <family val="2"/>
        <scheme val="minor"/>
      </rPr>
      <t> 35 p. + 1 CD</t>
    </r>
  </si>
  <si>
    <t>Langridge et al. (2017a)  report SR in components (including dip slip) so Net SR is calculated using CFM dip. Minimum values because from a maximum age for terrace abandonment.</t>
  </si>
  <si>
    <t>Langridge et al. (2017b)</t>
  </si>
  <si>
    <t>Langridge et al. (2011c)</t>
  </si>
  <si>
    <t>Maximum radiocarbon age from charcoal in faulted fluvial sand inferred to have been deposited immediately before terrace abandonment. Calibrated using SHCal04 (McCormac et al., 2004), 2 sigma uncertainties. Historical (1840 AD) minimum age constraint.</t>
  </si>
  <si>
    <t xml:space="preserve">Minimum age from radiocarbon date of charcoal from faulted fluvial terrace and offset of T2/R2 by similar amounts infers PE predates both features. Calibrated using SHCal04 (McCormac et al., 2004), 2 sigma uncertainties. </t>
  </si>
  <si>
    <t>Little et al. (2010) as seen in Langridge et al. (2011c)</t>
  </si>
  <si>
    <t>Langridge, R.M.; Van Dissen, R.J.; Villamor, P.; Little, T.A. 2009 It's our fault : Wellington Fault paleo-earthquake investigations : final report. GNS Science consultancy report 2008/344. 45 p</t>
  </si>
  <si>
    <t>Bracketed by  radiocarbon ages from peat above and below colluvial wedge.  Calibrated using Calib4.3 and a southern hemisphere offset of -27 C14 years (McCormac et al., 1998), 2 sigma uncertainties.</t>
  </si>
  <si>
    <t>McCormac, F.G.; Hogg, A.G.; Higham, T.F.G.; Lunch-Stieglitz, J.; Broecker, W.S.;  Baillie, M.G.L.; Palmer, J.; Xiong, L.; Pilcher, J.R.; Brown, D.; Hoper, S.T. 1998. Temporal variation in the interhemispheric 14C offset. Geophysical Research Letters, 25: 1321-1324.</t>
  </si>
  <si>
    <t>Bracketed by peat above and within co-seismic unit, calibrated using Calib4.3 and a southern hemisphere offset of -27 C14 years (McCormac et al., 1998), 2 sigma uncertainties. Referred to as Event A.</t>
  </si>
  <si>
    <t>Bracketed from peat within and below coseismic wedge, calibrated using Calib4.3 and a southern hemisphere offset of -27 C14 years (McCormac et al., 1998), 2 sigma uncertainties. Some out of sequence ages and not sure where 8200 constraint comes from. Referred to as Event B.</t>
  </si>
  <si>
    <t>Bracketed by radiocarbon ages of peat above and below event horizon, calibrated using Calib4.3 and a southern hemisphere offset of -27 C14 years (McCormac et al., 1998), 2 sigma uncertainties. Referred to as Event C.</t>
  </si>
  <si>
    <t>Minimum age from radiocarbon age of peat above colluvial wedge, calibrated using Calib4.3 and a southern hemisphere offset of -27 C14 years (McCormac et al., 1998), 2 sigma uncertainties. Referred to as Event F.</t>
  </si>
  <si>
    <t>Langridge et al. (2007); Beanland and Berryman (1991)</t>
  </si>
  <si>
    <t>Langridge et al. (2007); Beanland and Berryman (1991); Berryman et al. (2002)</t>
  </si>
  <si>
    <r>
      <t>Langridge, R.M.; Berryman, K.R. 2005 Morphology and slip rates of the Hurunui section of the Hope Fault, South Island, New Zealand.</t>
    </r>
    <r>
      <rPr>
        <i/>
        <sz val="10"/>
        <rFont val="Calibri"/>
        <family val="2"/>
        <scheme val="minor"/>
      </rPr>
      <t> New Zealand Journal of Geology and Geophysics, 48(1): </t>
    </r>
    <r>
      <rPr>
        <sz val="10"/>
        <rFont val="Calibri"/>
        <family val="2"/>
        <scheme val="minor"/>
      </rPr>
      <t>43-57</t>
    </r>
  </si>
  <si>
    <r>
      <t>Langridge, R.M.; Berryman, K.R.; Van Dissen, R.J. 2007 Late Holocene paleoseismicity of the Pahiatua section of the Wellington Fault, New Zealand.</t>
    </r>
    <r>
      <rPr>
        <i/>
        <sz val="10"/>
        <rFont val="Calibri"/>
        <family val="2"/>
        <scheme val="minor"/>
      </rPr>
      <t> New Zealand Journal of Geology and Geophysics, 50(3): </t>
    </r>
    <r>
      <rPr>
        <sz val="10"/>
        <rFont val="Calibri"/>
        <family val="2"/>
        <scheme val="minor"/>
      </rPr>
      <t>205-226; doi: 10.1080/00288300709509832</t>
    </r>
  </si>
  <si>
    <t xml:space="preserve">Bracketed by radiocarbon dates of charcoal in faulted unit and infilling fissure, calibrated using SHCal04 (McCormac et al., 2004), 2 sigma uncertainties. Inferred to be the 1855 Wairarapa EQ. </t>
  </si>
  <si>
    <t xml:space="preserve">Bracketed by radiocarbon dates of charcoal and detrital wood fibres, calibrated using SHCal04 (McCormac et al., 2004), 2 sigma uncertainties. </t>
  </si>
  <si>
    <t>Maximum age from charcoal in unit inferred to  have formed in earlier of two growth stages. Radiocarbon age calibrated using SHCal04 (McCormac et al., 2004), 2 sigma uncertainties. Preferered age reported as c. 1300 cal. yr BP.</t>
  </si>
  <si>
    <r>
      <t>Begg, J.G.; Van Dissen, R.J. 1998 Whitemans Valley Fault: a newly discovered active second order fault near Wellington, New Zealand : implications for regional seismic hazard.</t>
    </r>
    <r>
      <rPr>
        <i/>
        <sz val="10"/>
        <rFont val="Calibri"/>
        <family val="2"/>
        <scheme val="minor"/>
      </rPr>
      <t> New Zealand Journal of Geology and Geophysics, 41(4): </t>
    </r>
    <r>
      <rPr>
        <sz val="10"/>
        <rFont val="Calibri"/>
        <family val="2"/>
        <scheme val="minor"/>
      </rPr>
      <t>441-448; doi: 10.1080/00288306.1998.9514821</t>
    </r>
  </si>
  <si>
    <r>
      <t>Amos, C.B.; Burbank, D.W.; Nobes, D.C.; Read, S.A.L. 2007 Geomorphic constraints on listric thrust faulting : implications for active deformation in the Mackenzie Basin, South Island, New Zealand.</t>
    </r>
    <r>
      <rPr>
        <i/>
        <sz val="10"/>
        <rFont val="Calibri"/>
        <family val="2"/>
        <scheme val="minor"/>
      </rPr>
      <t> Journal of Geophysical Research. Solid Earth, 112(B3): </t>
    </r>
    <r>
      <rPr>
        <sz val="10"/>
        <rFont val="Calibri"/>
        <family val="2"/>
        <scheme val="minor"/>
      </rPr>
      <t>B03S11; doi: 10.1029/2006JB004291</t>
    </r>
  </si>
  <si>
    <r>
      <t>Amos, C.B.; Burbank, D.W.; Read, S.A.L. 2010 Along-strike growth of the Ostler Fault, New Zealand : consequences for drainage deflection above active thrusts.</t>
    </r>
    <r>
      <rPr>
        <i/>
        <sz val="10"/>
        <rFont val="Calibri"/>
        <family val="2"/>
        <scheme val="minor"/>
      </rPr>
      <t> Tectonics, 29: </t>
    </r>
    <r>
      <rPr>
        <sz val="10"/>
        <rFont val="Calibri"/>
        <family val="2"/>
        <scheme val="minor"/>
      </rPr>
      <t>TC4021; doi: 10.1029/2009TC002613</t>
    </r>
  </si>
  <si>
    <r>
      <t>Amos, C.B.; Lapwood, J.J.; Nobes, D.C.; Burbank, D.W.; Rieser, U.; Wade, A. 2011 Palaeoseismic constraints on Holocene surface ruptures along the Ostler Fault, southern New Zealand.</t>
    </r>
    <r>
      <rPr>
        <i/>
        <sz val="10"/>
        <rFont val="Calibri"/>
        <family val="2"/>
        <scheme val="minor"/>
      </rPr>
      <t> New Zealand Journal of Geology and Geophysics, 54(4): </t>
    </r>
    <r>
      <rPr>
        <sz val="10"/>
        <rFont val="Calibri"/>
        <family val="2"/>
        <scheme val="minor"/>
      </rPr>
      <t>367-378; doi: 10.1080/00288306.2011.601746</t>
    </r>
  </si>
  <si>
    <r>
      <t>Barnes, P.M.; Ghisetti, F.C. 2016 Structure, late Quaternary slip rate and earthquake potential of marine reverse faults along the North Westland deformation front, New Zealand.</t>
    </r>
    <r>
      <rPr>
        <i/>
        <sz val="10"/>
        <rFont val="Calibri"/>
        <family val="2"/>
        <scheme val="minor"/>
      </rPr>
      <t> New Zealand Journal of Geology and Geophysics, 59(1): </t>
    </r>
    <r>
      <rPr>
        <sz val="10"/>
        <rFont val="Calibri"/>
        <family val="2"/>
        <scheme val="minor"/>
      </rPr>
      <t>157-175; doi: 10.1080/00288306.2015.1112816</t>
    </r>
  </si>
  <si>
    <r>
      <t>Barnes, P.M.; Nodder, S.D.; Woelz, S.; Orpin, A.R. 2019 The structure and seismic potential of the Aotea and Evans Bay faults, Wellington, New Zealand.</t>
    </r>
    <r>
      <rPr>
        <i/>
        <sz val="10"/>
        <rFont val="Calibri"/>
        <family val="2"/>
        <scheme val="minor"/>
      </rPr>
      <t> New Zealand Journal of Geology and Geophysics, 62(1): </t>
    </r>
    <r>
      <rPr>
        <sz val="10"/>
        <rFont val="Calibri"/>
        <family val="2"/>
        <scheme val="minor"/>
      </rPr>
      <t>46-71; doi: 10.1080/00288306.2018.1520265</t>
    </r>
  </si>
  <si>
    <r>
      <t>Barth, N.C.; Kulhanek, D.K.; Beu, A.G.; Murray-Wallace, C.V.; Hayward, B.W.; Mildenhall, D.C.; Lee, D.E. 2014 New c. 270 kyr strike-slip and uplift rates for the southern Alpine Fault and implications for the New Zealand plate boundary.</t>
    </r>
    <r>
      <rPr>
        <i/>
        <sz val="10"/>
        <rFont val="Calibri"/>
        <family val="2"/>
        <scheme val="minor"/>
      </rPr>
      <t> Journal of Structural Geology, 64: </t>
    </r>
    <r>
      <rPr>
        <sz val="10"/>
        <rFont val="Calibri"/>
        <family val="2"/>
        <scheme val="minor"/>
      </rPr>
      <t>39-52; doi: 10.1016/j.jsg.2013.08.009</t>
    </r>
  </si>
  <si>
    <r>
      <t>Beanland, S.; Barrow-Hurlbert, S.A. 1988 The Nevis-Cardrona Fault System, Central Otago, New Zealand: late Quaternary tectonics and structural development.</t>
    </r>
    <r>
      <rPr>
        <i/>
        <sz val="10"/>
        <rFont val="Calibri"/>
        <family val="2"/>
        <scheme val="minor"/>
      </rPr>
      <t> New Zealand Journal of Geology and Geophysics, 31(3): </t>
    </r>
    <r>
      <rPr>
        <sz val="10"/>
        <rFont val="Calibri"/>
        <family val="2"/>
        <scheme val="minor"/>
      </rPr>
      <t>337-352; doi: 10.1080/00288306.1988.10417780</t>
    </r>
  </si>
  <si>
    <r>
      <t>Beauprêtre, S.; Garambois, S.; Manighetti, I.; Malavieille, J.; Sénéchal, G.; Chatton, M.; Davies, T.; Larroque, C.; Rousset, D.; Cotte, N.; Romano, C. 2012 Finding the buried record of past earthquakes with GPR-based palaeoseismology : a case study on the Hope fault, New Zealand.</t>
    </r>
    <r>
      <rPr>
        <i/>
        <sz val="10"/>
        <rFont val="Calibri"/>
        <family val="2"/>
        <scheme val="minor"/>
      </rPr>
      <t> Geophysical Journal International, 189: </t>
    </r>
    <r>
      <rPr>
        <sz val="10"/>
        <rFont val="Calibri"/>
        <family val="2"/>
        <scheme val="minor"/>
      </rPr>
      <t>73-100; doi: 10.1111/j.1365-246X.2012.05366.x</t>
    </r>
  </si>
  <si>
    <t>Beavan, R.J.; Litchfield, N.J. 2012 Vertical land movement around the New Zealand coastline: implications for sea-level rise. Lower Hutt: GNS Science. GNS Science report 2012/29. 41 p.</t>
  </si>
  <si>
    <t>Benson, A.; Hill, N.; Little, T.A.; Van Dissen, R.J. 2001b Paleoseismicity, rates of active deformation, and structure of the Lake Jasper pull-apart basin, Awatere Fault, New Zealand. Consulting report / School of Earth Sciences, Victoria University of Wellington 2001/1; EQC research report 97/262. 1 v.</t>
  </si>
  <si>
    <t>Benson, A.M.; Little, T.A.; Van Dissen, R.J.; Hill, N.; Townsend, D.B. 2001a Late Quaternary paleoseismic history and surface rupture characteristics of the eastern Awatere strike-slip fault, New Zealand. Geological Society of America Bulletin, 113(8): 1079-1091</t>
  </si>
  <si>
    <r>
      <t>Berryman, K.R. 1993 Distribution, age, and deformation of Late Pleistocene marine terraces at Mahia Peninsula, Hikurangi subduction margin, New Zealand.</t>
    </r>
    <r>
      <rPr>
        <i/>
        <sz val="10"/>
        <rFont val="Calibri"/>
        <family val="2"/>
        <scheme val="minor"/>
      </rPr>
      <t> Tectonics, 12(6): </t>
    </r>
    <r>
      <rPr>
        <sz val="10"/>
        <rFont val="Calibri"/>
        <family val="2"/>
        <scheme val="minor"/>
      </rPr>
      <t>1365-1379; doi: 10.1029/93TC01543</t>
    </r>
  </si>
  <si>
    <r>
      <t>Berryman, K.R.; Clark, K.J.; Cochran, U.A.; Beu, A.G.; Irwin, S. 2018 A geomorphic and tectonic model for the formation of the flight of Holocene marine terraces at Mahia Peninsula, New Zealand.</t>
    </r>
    <r>
      <rPr>
        <i/>
        <sz val="10"/>
        <rFont val="Calibri"/>
        <family val="2"/>
        <scheme val="minor"/>
      </rPr>
      <t> Geomorphology, 307: </t>
    </r>
    <r>
      <rPr>
        <sz val="10"/>
        <rFont val="Calibri"/>
        <family val="2"/>
        <scheme val="minor"/>
      </rPr>
      <t>77-92; doi: 10.1016/j.geomorph.2017.10.014</t>
    </r>
  </si>
  <si>
    <r>
      <t>Berryman, K.R.; Cochran, U.A.; Clark, K.J.; Biasi, G.P.; Langridge, R.M.; Villamor, P. 2012a Major earthquakes occur regularly on an isolated plate boundary fault. </t>
    </r>
    <r>
      <rPr>
        <i/>
        <sz val="10"/>
        <rFont val="Calibri"/>
        <family val="2"/>
        <scheme val="minor"/>
      </rPr>
      <t>Science, 336: </t>
    </r>
    <r>
      <rPr>
        <sz val="10"/>
        <rFont val="Calibri"/>
        <family val="2"/>
        <scheme val="minor"/>
      </rPr>
      <t>1690-1693; doi: 10.1126/science.1218959</t>
    </r>
  </si>
  <si>
    <r>
      <t>Berryman, K.R.; Marden, M.; Palmer, A.; Litchfield, N.J. 2009 Holocene rupture of the Repongaere Fault, Gisborne : implications for Raukumara Peninsula deformation and impact on the Waipaoa Sedimentary System.</t>
    </r>
    <r>
      <rPr>
        <i/>
        <sz val="10"/>
        <rFont val="Calibri"/>
        <family val="2"/>
        <scheme val="minor"/>
      </rPr>
      <t> New Zealand Journal of Geology and Geophysics, 52(4): </t>
    </r>
    <r>
      <rPr>
        <sz val="10"/>
        <rFont val="Calibri"/>
        <family val="2"/>
        <scheme val="minor"/>
      </rPr>
      <t>335-347; doi: 10.1080/00288306.2009.9518462</t>
    </r>
  </si>
  <si>
    <r>
      <t>Berryman, K.R.; Van Dissen, R.J.; Mouslopoulou, V. 2002 Recent rupture of the Tararua section of the Wellington Fault and relationships to other fault sections and rupture segments. Wellington: Earthquake Commission. </t>
    </r>
    <r>
      <rPr>
        <i/>
        <sz val="10"/>
        <rFont val="Calibri"/>
        <family val="2"/>
        <scheme val="minor"/>
      </rPr>
      <t>EQC research report 97/248</t>
    </r>
  </si>
  <si>
    <r>
      <t>Berryman, K.R.; Villamor, P.; Nairn, I.A.; Van Dissen, R.J.; Begg, J.G.; Lee, J.M. 2008 Late Pleistocene surface rupture history of the Paeroa Fault, Taupo Rift, New Zealand.</t>
    </r>
    <r>
      <rPr>
        <i/>
        <sz val="10"/>
        <rFont val="Calibri"/>
        <family val="2"/>
        <scheme val="minor"/>
      </rPr>
      <t> New Zealand Journal of Geology and Geophysics, 51(2): </t>
    </r>
    <r>
      <rPr>
        <sz val="10"/>
        <rFont val="Calibri"/>
        <family val="2"/>
        <scheme val="minor"/>
      </rPr>
      <t>135-158; doi: 10.1080/00288300809509855</t>
    </r>
  </si>
  <si>
    <r>
      <t>Biasi, G.P.; Langridge, R.M.; Berryman, K.R.; Clark, K.J.; Cochran, U.A. 2015 Maximum-likelihood recurrence parameters and conditional probability of a ground-rupturing earthquake on the southern Alpine Fault, South Island, New Zealand. </t>
    </r>
    <r>
      <rPr>
        <i/>
        <sz val="10"/>
        <rFont val="Calibri"/>
        <family val="2"/>
        <scheme val="minor"/>
      </rPr>
      <t>Bulletin of the Seismological Society of America, 105(1): </t>
    </r>
    <r>
      <rPr>
        <sz val="10"/>
        <rFont val="Calibri"/>
        <family val="2"/>
        <scheme val="minor"/>
      </rPr>
      <t>94-106; doi: 10.1785/0120130259</t>
    </r>
  </si>
  <si>
    <r>
      <t>Briggs, R.M.; Okada, T.; Itaya, T.; Shibuya, H.; Smith, I.E. 1994 K-Ar ages, paleomagnetism, and geochemistry of the South Auckland volcanic field, North Island, New Zealand.</t>
    </r>
    <r>
      <rPr>
        <i/>
        <sz val="10"/>
        <rFont val="Calibri"/>
        <family val="2"/>
        <scheme val="minor"/>
      </rPr>
      <t> New Zealand Journal of Geology and Geophysics, 37(2): </t>
    </r>
    <r>
      <rPr>
        <sz val="10"/>
        <rFont val="Calibri"/>
        <family val="2"/>
        <scheme val="minor"/>
      </rPr>
      <t>143-153; doi: 10.1080/00288306.1994.9514609</t>
    </r>
  </si>
  <si>
    <r>
      <t>Canora-Catalan, C.; Villamor, P.; Berryman, K.R.; Martinez-Diaz, J.J.; Raen, T. 2008 Rupture history of the Whirinaki Fault, an active normal fault in the Taupo Rift.</t>
    </r>
    <r>
      <rPr>
        <i/>
        <sz val="10"/>
        <rFont val="Calibri"/>
        <family val="2"/>
        <scheme val="minor"/>
      </rPr>
      <t> New Zealand Journal of Geology and Geophysics, 51(4): </t>
    </r>
    <r>
      <rPr>
        <sz val="10"/>
        <rFont val="Calibri"/>
        <family val="2"/>
        <scheme val="minor"/>
      </rPr>
      <t>277-293; doi: 10.1080/00288300809509866</t>
    </r>
  </si>
  <si>
    <r>
      <t>Clark, K.J.; Cochran, U.A.; Berryman, K.R.; Biasi, G.; Langridge, R.M.; Villamor, P.; Bartholomew, T.; Litchfield, N.J.; Pantosti, D.; Marco, S.; Van Dissen, R.J.; Turner, G.; Hemphill-Haley, M. 2013 Deriving a long paleoseismic record from a shallow-water Holocene basin next to the Alpine fault, New Zealand. </t>
    </r>
    <r>
      <rPr>
        <i/>
        <sz val="10"/>
        <rFont val="Calibri"/>
        <family val="2"/>
        <scheme val="minor"/>
      </rPr>
      <t>Geological Society of America Bulletin, 125(5/6): </t>
    </r>
    <r>
      <rPr>
        <sz val="10"/>
        <rFont val="Calibri"/>
        <family val="2"/>
        <scheme val="minor"/>
      </rPr>
      <t>811-832; doi: 10.1130/&amp;#8203;B30693.1</t>
    </r>
  </si>
  <si>
    <r>
      <t>Clark, K.J.; Van Dissen, R.J.; Litchfield, N.J.; Little, T.A.; Bartholomew, T. 2011 The Vernon Fault : onshore paleoseismicity, constraints on slip rate, and contribution to Holocene tectonic subsidence of Big Lagoon, South Island, New Zealand. Lower Hutt: GNS Science. </t>
    </r>
    <r>
      <rPr>
        <i/>
        <sz val="10"/>
        <rFont val="Calibri"/>
        <family val="2"/>
        <scheme val="minor"/>
      </rPr>
      <t>GNS Science report 2011/42.</t>
    </r>
    <r>
      <rPr>
        <sz val="10"/>
        <rFont val="Calibri"/>
        <family val="2"/>
        <scheme val="minor"/>
      </rPr>
      <t> 32 p.</t>
    </r>
  </si>
  <si>
    <r>
      <t>Cochran, U.A.; Clark, K.J.; Howarth, J.D.; Biasi, G.P.; Langridge, R.M.; Villamor, P.; Berryman, K.R.; Vandergoes, M.J. 2017 A plate boundary earthquake record from a wetland adjacent to the Alpine fault in New Zealand refines hazard estimates.</t>
    </r>
    <r>
      <rPr>
        <i/>
        <sz val="10"/>
        <rFont val="Calibri"/>
        <family val="2"/>
        <scheme val="minor"/>
      </rPr>
      <t> Earth and Planetary Science Letters, 464: </t>
    </r>
    <r>
      <rPr>
        <sz val="10"/>
        <rFont val="Calibri"/>
        <family val="2"/>
        <scheme val="minor"/>
      </rPr>
      <t>175-188; doi: 10.1016/j.epsl.2017.02.026</t>
    </r>
  </si>
  <si>
    <r>
      <t>Cochran, U.A.; Hannah, M.; Harper, M.; Van Dissen, R.J.; Berryman, K.R.; Begg, J.G. 2007 Detection of large, Holocene earthquakes using diatom analysis of coastal sedimentary sequences, Wellington, New Zealand.</t>
    </r>
    <r>
      <rPr>
        <i/>
        <sz val="10"/>
        <rFont val="Calibri"/>
        <family val="2"/>
        <scheme val="minor"/>
      </rPr>
      <t> Quaternary Science Reviews, 26(7/8): </t>
    </r>
    <r>
      <rPr>
        <sz val="10"/>
        <rFont val="Calibri"/>
        <family val="2"/>
        <scheme val="minor"/>
      </rPr>
      <t>1129-1147; doi: 10.1016/j.quascirev.2007.01.008</t>
    </r>
  </si>
  <si>
    <r>
      <t>Cooper, A.F.; Norris, R.J. 1994 Anatomy, structural evolution, and slip rate of a plate-boundary thrust : The Alpine Fault at Gaunt Creek, Westland, New Zealand.</t>
    </r>
    <r>
      <rPr>
        <i/>
        <sz val="10"/>
        <rFont val="Calibri"/>
        <family val="2"/>
        <scheme val="minor"/>
      </rPr>
      <t> Geological Society of America Bulletin, 106(5): </t>
    </r>
    <r>
      <rPr>
        <sz val="10"/>
        <rFont val="Calibri"/>
        <family val="2"/>
        <scheme val="minor"/>
      </rPr>
      <t>627-633</t>
    </r>
  </si>
  <si>
    <r>
      <t>Cowan, H.A. 1991 The North Canterbury earthquake of September 1, 1888.</t>
    </r>
    <r>
      <rPr>
        <i/>
        <sz val="10"/>
        <rFont val="Calibri"/>
        <family val="2"/>
        <scheme val="minor"/>
      </rPr>
      <t> Journal of the Royal Society of New Zealand, 21(1): </t>
    </r>
    <r>
      <rPr>
        <sz val="10"/>
        <rFont val="Calibri"/>
        <family val="2"/>
        <scheme val="minor"/>
      </rPr>
      <t>1-12; doi: 10.1080/03036758.1991.10416105</t>
    </r>
  </si>
  <si>
    <r>
      <t>Cowan, H.A.; McGlone, M.S. 1991 Late Holocene displacements and characteristic earthquakes on the Hope River segment of the Hope Fault, New Zealand.</t>
    </r>
    <r>
      <rPr>
        <i/>
        <sz val="10"/>
        <rFont val="Calibri"/>
        <family val="2"/>
        <scheme val="minor"/>
      </rPr>
      <t> Journal of the Royal Society of New Zealand, 21(4): </t>
    </r>
    <r>
      <rPr>
        <sz val="10"/>
        <rFont val="Calibri"/>
        <family val="2"/>
        <scheme val="minor"/>
      </rPr>
      <t>373-384; doi: 10.1080/03036758.1991.10420834</t>
    </r>
  </si>
  <si>
    <r>
      <t>De Pascale, G.P.; Langridge, R.M. 2012 New on-fault evidence for a great earthquake in A.D. 1717, central Alpine Fault, New Zealand.</t>
    </r>
    <r>
      <rPr>
        <i/>
        <sz val="10"/>
        <rFont val="Calibri"/>
        <family val="2"/>
        <scheme val="minor"/>
      </rPr>
      <t> Geology, 40(9): </t>
    </r>
    <r>
      <rPr>
        <sz val="10"/>
        <rFont val="Calibri"/>
        <family val="2"/>
        <scheme val="minor"/>
      </rPr>
      <t>791-794; doi: 10.1130/G33363.1</t>
    </r>
  </si>
  <si>
    <r>
      <t>De Pascale, G.P.; Quigley, M.C.; Davies, T.R.H. 2014 Lidar reveals uniform Alpine fault offsets and bimodal plate boundary rupture behavior, New Zealand.</t>
    </r>
    <r>
      <rPr>
        <i/>
        <sz val="10"/>
        <rFont val="Calibri"/>
        <family val="2"/>
        <scheme val="minor"/>
      </rPr>
      <t> Geology, 42(5): </t>
    </r>
    <r>
      <rPr>
        <sz val="10"/>
        <rFont val="Calibri"/>
        <family val="2"/>
        <scheme val="minor"/>
      </rPr>
      <t>411-414; doi: 10.1130/G35100.1</t>
    </r>
  </si>
  <si>
    <r>
      <t>Froggatt, P.C.; Lowe, D.J. 1990 A review of late Quaternary silicic and some other tephra formations from New Zealand : their stratigraphy, nomenclature, distribution, volume and age.</t>
    </r>
    <r>
      <rPr>
        <i/>
        <sz val="10"/>
        <rFont val="Calibri"/>
        <family val="2"/>
        <scheme val="minor"/>
      </rPr>
      <t> New Zealand Journal of Geology and Geophysics, 33(1): </t>
    </r>
    <r>
      <rPr>
        <sz val="10"/>
        <rFont val="Calibri"/>
        <family val="2"/>
        <scheme val="minor"/>
      </rPr>
      <t>89-109; doi: 10.1080/00288306.1990.10427576</t>
    </r>
  </si>
  <si>
    <r>
      <t>Gomez-Vasconcelos, M.G.; Villamor, P.; Cronin, S.; Procter, J.; Palmer, A.; Townsend, D.B.; Leonard, G.S. 2017 Crustal extension in the Tongariro graben, New Zealand : insights into volcano-tectonic interactions and active deformation in a young continental rift.</t>
    </r>
    <r>
      <rPr>
        <i/>
        <sz val="10"/>
        <rFont val="Calibri"/>
        <family val="2"/>
        <scheme val="minor"/>
      </rPr>
      <t> Geological Society of America Bulletin, 129(9-10): </t>
    </r>
    <r>
      <rPr>
        <sz val="10"/>
        <rFont val="Calibri"/>
        <family val="2"/>
        <scheme val="minor"/>
      </rPr>
      <t>1085-1099; doi: 10.1130/B31657.1</t>
    </r>
  </si>
  <si>
    <r>
      <t>Gomez-Vasconcelos, M.G.; Villamor, P.; Cronin, S.J.; Procter, J.; Kereszturi, G.; Palmer, A.; Townsend, D.B.; Leonard, G.S.; Berryman, K.R.; Ashraf, S. 2016 Earthquake history at the eastern boundary of the South Taupo Volcanic Zone, New Zealand.</t>
    </r>
    <r>
      <rPr>
        <i/>
        <sz val="10"/>
        <rFont val="Calibri"/>
        <family val="2"/>
        <scheme val="minor"/>
      </rPr>
      <t> New Zealand Journal of Geology and Geophysics, 59(4): </t>
    </r>
    <r>
      <rPr>
        <sz val="10"/>
        <rFont val="Calibri"/>
        <family val="2"/>
        <scheme val="minor"/>
      </rPr>
      <t>522-543; doi: 10.1080/00288306.2016.1195757</t>
    </r>
  </si>
  <si>
    <r>
      <t>Gomez-Vasconcelos, M.G.; Villamor, P.; Procter, J.; Palmer, A.; Cronin, S.; Wallace, C.; Townsend, D.B.; Leonard, G.S. 2019 Characterisation of faults as earthquake sources from geomorphic data in the Tongariro Volcanic Complex, New Zealand.</t>
    </r>
    <r>
      <rPr>
        <i/>
        <sz val="10"/>
        <rFont val="Calibri"/>
        <family val="2"/>
        <scheme val="minor"/>
      </rPr>
      <t> New Zealand Journal of Geology and Geophysics, 62(1): </t>
    </r>
    <r>
      <rPr>
        <sz val="10"/>
        <rFont val="Calibri"/>
        <family val="2"/>
        <scheme val="minor"/>
      </rPr>
      <t xml:space="preserve">131-142; doi: 10.1080/00288306.2018.1548495 </t>
    </r>
  </si>
  <si>
    <r>
      <t>Hatem, A.E.; Dolan, J.F.; Zinke, R.W.; Langridge, R.M.; McGuire, C.P.; Rhodes, E.J.; Brown, N.; Van Dissen, R.J. 2020 Holocene to latest Pleistocene incremental slip rates from the east-central Hope fault (Conway segment) at Hossack Station, Marlborough fault system, South Island, New Zealand : towards a dated path of earthquake slip along a plate boundary fault.</t>
    </r>
    <r>
      <rPr>
        <i/>
        <sz val="10"/>
        <rFont val="Calibri"/>
        <family val="2"/>
        <scheme val="minor"/>
      </rPr>
      <t> Geosphere, 16(6): </t>
    </r>
    <r>
      <rPr>
        <sz val="10"/>
        <rFont val="Calibri"/>
        <family val="2"/>
        <scheme val="minor"/>
      </rPr>
      <t>1558-1584; doi: 10.1130/GES02263.1</t>
    </r>
  </si>
  <si>
    <r>
      <t>Hatem, A.E.; Dolan, J.F.; Zinke, R.W.; Van Dissen, R.J.; McGuire, C.M.; Rhodes, E.J. 2019 A 2000 yr paleoearthquake record along the Conway segment of the Hope Fault : implications for patterns of earthquake occurrence in northern South Island and southern North Island, New Zealand.</t>
    </r>
    <r>
      <rPr>
        <i/>
        <sz val="10"/>
        <rFont val="Calibri"/>
        <family val="2"/>
        <scheme val="minor"/>
      </rPr>
      <t> Bulletin of the Seismological Society of America, 109(6): </t>
    </r>
    <r>
      <rPr>
        <sz val="10"/>
        <rFont val="Calibri"/>
        <family val="2"/>
        <scheme val="minor"/>
      </rPr>
      <t>2216-2239; doi: 10.1785/0120180313</t>
    </r>
  </si>
  <si>
    <r>
      <t>Heron, D.W.; Van Dissen, R.J.; Sawa, M. 1998 Late Quaternary movement on the Ohariu Fault, Tongue Point to MacKays Crossing, North Island, New Zealand.</t>
    </r>
    <r>
      <rPr>
        <i/>
        <sz val="10"/>
        <rFont val="Calibri"/>
        <family val="2"/>
        <scheme val="minor"/>
      </rPr>
      <t> New Zealand Journal of Geology and Geophysics, 41(4): </t>
    </r>
    <r>
      <rPr>
        <sz val="10"/>
        <rFont val="Calibri"/>
        <family val="2"/>
        <scheme val="minor"/>
      </rPr>
      <t>419-439; doi: 10.1080/00288306.1998.9514820</t>
    </r>
  </si>
  <si>
    <r>
      <t>Hornblow, S.; Quigley, M.; Nicol, A.; Van Dissen, R.J.; Wang, N. 2014 Paleoseismology of the 2010 M</t>
    </r>
    <r>
      <rPr>
        <vertAlign val="subscript"/>
        <sz val="10"/>
        <rFont val="Calibri"/>
        <family val="2"/>
        <scheme val="minor"/>
      </rPr>
      <t>w</t>
    </r>
    <r>
      <rPr>
        <sz val="10"/>
        <rFont val="Calibri"/>
        <family val="2"/>
        <scheme val="minor"/>
      </rPr>
      <t> 7.1 Darfield (Canterbury) earthquake source, Greendale Fault, New Zealand.</t>
    </r>
    <r>
      <rPr>
        <i/>
        <sz val="10"/>
        <rFont val="Calibri"/>
        <family val="2"/>
        <scheme val="minor"/>
      </rPr>
      <t> Tectonophysics, 637: </t>
    </r>
    <r>
      <rPr>
        <sz val="10"/>
        <rFont val="Calibri"/>
        <family val="2"/>
        <scheme val="minor"/>
      </rPr>
      <t>178-190; doi: 10.1016/j.tecto.2014.10.004</t>
    </r>
  </si>
  <si>
    <r>
      <t>Houghton, B.F.; Wilson, C.J.N.; McWilliams, M.O.; Lanphere, M.A.; Weaver, S.D.; Briggs, R.M.; Pringle, M.S. 1995 Chronology and dynamics of a large silicic magmatic system : central Taupo Volcanic Zone, New Zealand.</t>
    </r>
    <r>
      <rPr>
        <i/>
        <sz val="10"/>
        <rFont val="Calibri"/>
        <family val="2"/>
        <scheme val="minor"/>
      </rPr>
      <t> Geology, 23(1): </t>
    </r>
    <r>
      <rPr>
        <sz val="10"/>
        <rFont val="Calibri"/>
        <family val="2"/>
        <scheme val="minor"/>
      </rPr>
      <t>13-16</t>
    </r>
  </si>
  <si>
    <r>
      <t>Howard, M.; Nicol, A.; Campbell, J.; Pettinga, J.R. 2005 Holocene paleoearthquakes on the strike-slip Porters Pass Fault, Canterbury, New Zealand.</t>
    </r>
    <r>
      <rPr>
        <i/>
        <sz val="10"/>
        <rFont val="Calibri"/>
        <family val="2"/>
        <scheme val="minor"/>
      </rPr>
      <t> New Zealand Journal of Geology and Geophysics, 48(1): </t>
    </r>
    <r>
      <rPr>
        <sz val="10"/>
        <rFont val="Calibri"/>
        <family val="2"/>
        <scheme val="minor"/>
      </rPr>
      <t>59-74</t>
    </r>
  </si>
  <si>
    <t>Howarth, J.D.; Fitzsimons, S.J.; Norris, R.J.; Jacobsen, G.E. 2014 Lake sediments record high intensity shaking that provides insight into the location and rupture length of large earthquakes on the Alpine Fault, New Zealand. Earth and Planetary Science Letters, 403: 340-351; doi: 10.1016/j.epsl.2014.07.008</t>
  </si>
  <si>
    <r>
      <t>Howarth, J.D.; Fitzsimons, S.J.; Norris, R.J.; Langridge, R.M.; Vandergoes, M.J. 2016 A 2000 yr rupture history for the Alpine fault derived from Lake Ellery, South Island, New Zealand.</t>
    </r>
    <r>
      <rPr>
        <i/>
        <sz val="10"/>
        <rFont val="Calibri"/>
        <family val="2"/>
        <scheme val="minor"/>
      </rPr>
      <t> Geological Society of America Bulletin, 128(3/4): </t>
    </r>
    <r>
      <rPr>
        <sz val="10"/>
        <rFont val="Calibri"/>
        <family val="2"/>
        <scheme val="minor"/>
      </rPr>
      <t xml:space="preserve">627-643; doi: 10.1130/B31300.1 </t>
    </r>
  </si>
  <si>
    <r>
      <t>Kearse, J.; Little, T.A.; Van Dissen, R.J.; Barnes, P.M.; Langridge, R.M.; Mountjoy, J.; Ries, W.F.; Villamor, P.; Clark, K.J.; Benson, A.; Lamarche, G.; Hill, M.P.; Hemphill-Haley, M. 2018 Onshore to offshore ground-surface and seabed rupture of the Jordan–Kekerengu–Needles fault network during the 2016 </t>
    </r>
    <r>
      <rPr>
        <i/>
        <sz val="10"/>
        <rFont val="Calibri"/>
        <family val="2"/>
        <scheme val="minor"/>
      </rPr>
      <t>M</t>
    </r>
    <r>
      <rPr>
        <i/>
        <vertAlign val="subscript"/>
        <sz val="10"/>
        <rFont val="Calibri"/>
        <family val="2"/>
        <scheme val="minor"/>
      </rPr>
      <t>w</t>
    </r>
    <r>
      <rPr>
        <sz val="10"/>
        <rFont val="Calibri"/>
        <family val="2"/>
        <scheme val="minor"/>
      </rPr>
      <t> 7.8 Kaikoura earthquake, New Zealand.</t>
    </r>
    <r>
      <rPr>
        <i/>
        <sz val="10"/>
        <rFont val="Calibri"/>
        <family val="2"/>
        <scheme val="minor"/>
      </rPr>
      <t> Bulletin of the Seismological Society of America, 108(3B): </t>
    </r>
    <r>
      <rPr>
        <sz val="10"/>
        <rFont val="Calibri"/>
        <family val="2"/>
        <scheme val="minor"/>
      </rPr>
      <t>1573-1595; doi: 10.1785/0120170304</t>
    </r>
  </si>
  <si>
    <r>
      <t>Kelsey, H.M.; Hull, A.G.; Cashman, S.M.; Berryman, K.R.; Cashman, P.H.; Trexler, J.H.; Begg, J.G. 1998 Paleoseismology of an active reverse fault in a forearc setting : the Poukawa fault zone, Hikurangi forearc, New Zealand.</t>
    </r>
    <r>
      <rPr>
        <i/>
        <sz val="10"/>
        <rFont val="Calibri"/>
        <family val="2"/>
        <scheme val="minor"/>
      </rPr>
      <t> Geological Society of America Bulletin, 110(9): </t>
    </r>
    <r>
      <rPr>
        <sz val="10"/>
        <rFont val="Calibri"/>
        <family val="2"/>
        <scheme val="minor"/>
      </rPr>
      <t>1123-1148</t>
    </r>
  </si>
  <si>
    <r>
      <t>Khajavi, N.; Langridge, R.M.; Quigley, M.C.; Smart, C.; Rezanejad, A.; Martin-Gonzalez, F. 2016 Late Holocene rupture behavior and earthquake chronology on the Hope fault, New Zealand.</t>
    </r>
    <r>
      <rPr>
        <i/>
        <sz val="10"/>
        <rFont val="Calibri"/>
        <family val="2"/>
        <scheme val="minor"/>
      </rPr>
      <t> Geological Society of America Bulletin, 128(11/12): </t>
    </r>
    <r>
      <rPr>
        <sz val="10"/>
        <rFont val="Calibri"/>
        <family val="2"/>
        <scheme val="minor"/>
      </rPr>
      <t>1736-1761; doi: 10.1130/B31199.1</t>
    </r>
  </si>
  <si>
    <r>
      <t>Khajavi, N.; Nicol, A.; Quigley, M.C.; Langridge, R.M. 2018 Temporal slip-rate stability and variations on the Hope Fault, New Zealand, during the late Quaternary.</t>
    </r>
    <r>
      <rPr>
        <i/>
        <sz val="10"/>
        <rFont val="Calibri"/>
        <family val="2"/>
        <scheme val="minor"/>
      </rPr>
      <t> Tectonophysics, 738-739: </t>
    </r>
    <r>
      <rPr>
        <sz val="10"/>
        <rFont val="Calibri"/>
        <family val="2"/>
        <scheme val="minor"/>
      </rPr>
      <t xml:space="preserve">112-123; doi: 10.1016/j.tecto.2018.05.001 </t>
    </r>
  </si>
  <si>
    <t>Kneupfer, P.L.K. 1984 Tectonic geomorphology and present-day tectonics of the Alpine shear system, South Island, New Zealand. PhD (Geosciences) thesis, University of Arizona. xvii, 489 p</t>
  </si>
  <si>
    <r>
      <t>Knuepfer, P.L.K. 1992 Temporal variations in latest Quaternary slip across the Australian-Pacific plate boundary, northeastern South Island, New Zealand.</t>
    </r>
    <r>
      <rPr>
        <i/>
        <sz val="10"/>
        <rFont val="Calibri"/>
        <family val="2"/>
        <scheme val="minor"/>
      </rPr>
      <t> Tectonics, 11(3): </t>
    </r>
    <r>
      <rPr>
        <sz val="10"/>
        <rFont val="Calibri"/>
        <family val="2"/>
        <scheme val="minor"/>
      </rPr>
      <t>449-464; doi: 10.1029/91TC02890</t>
    </r>
  </si>
  <si>
    <r>
      <t>Langridge, R.M. 2004 How is tectonic slip partitioned from the Alpine Fault to the Marlborough Fault System? : results from the Hope Fault. Lower Hutt: Institute of Geological &amp; Nuclear Sciences. </t>
    </r>
    <r>
      <rPr>
        <i/>
        <sz val="10"/>
        <rFont val="Calibri"/>
        <family val="2"/>
        <scheme val="minor"/>
      </rPr>
      <t>Institute of Geological &amp; Nuclear Sciences science report 2004/32.</t>
    </r>
    <r>
      <rPr>
        <sz val="10"/>
        <rFont val="Calibri"/>
        <family val="2"/>
        <scheme val="minor"/>
      </rPr>
      <t> 29 p.</t>
    </r>
  </si>
  <si>
    <r>
      <t>Langridge, R.M.; Basili, R.; Basher, L.; Wells, A.P. 2012 Late Holocene landscape change history related to the Alpine Fault determined from drowned forests in Lake Poerua, Westland, New Zealand.</t>
    </r>
    <r>
      <rPr>
        <i/>
        <sz val="10"/>
        <rFont val="Calibri"/>
        <family val="2"/>
        <scheme val="minor"/>
      </rPr>
      <t> Natural Hazards and Earth System Sciences, 12(6): </t>
    </r>
    <r>
      <rPr>
        <sz val="10"/>
        <rFont val="Calibri"/>
        <family val="2"/>
        <scheme val="minor"/>
      </rPr>
      <t>2051-2064; doi: 10.5194/nhess-12-2051-2012</t>
    </r>
  </si>
  <si>
    <r>
      <t>Langridge, R.M.; Campbell, J.; Hill, N.L.; Pere, V.; Pope, J.; Pettinga, J.; Estrada, B.; Berryman, K.R. 2003a Paleoseismology and slip rate of the Conway Segment of the Hope Fault at Greenburn Stream, South Island, New Zealand.</t>
    </r>
    <r>
      <rPr>
        <i/>
        <sz val="10"/>
        <rFont val="Calibri"/>
        <family val="2"/>
        <scheme val="minor"/>
      </rPr>
      <t> Annals of Geophysics, 46(5): </t>
    </r>
    <r>
      <rPr>
        <sz val="10"/>
        <rFont val="Calibri"/>
        <family val="2"/>
        <scheme val="minor"/>
      </rPr>
      <t>1119-1139</t>
    </r>
  </si>
  <si>
    <r>
      <t>Langridge, R.M.; Hemphill-Haley, M.; Ries, W. 2008 Active fault mapping and rupture avoidance at Queen Mary Hospital, Hanmer Springs. </t>
    </r>
    <r>
      <rPr>
        <i/>
        <sz val="10"/>
        <rFont val="Calibri"/>
        <family val="2"/>
        <scheme val="minor"/>
      </rPr>
      <t>GNS Science consultancy report 2008/113.</t>
    </r>
    <r>
      <rPr>
        <sz val="10"/>
        <rFont val="Calibri"/>
        <family val="2"/>
        <scheme val="minor"/>
      </rPr>
      <t> 52 p</t>
    </r>
  </si>
  <si>
    <r>
      <t>Langridge, R.M.; Howarth, J.D.; Carey, J.M.; Zondervan, A.; Strong, D.T. 2017b Reconnaissance geology of Lake McRae, Marlborough : landslides, lake sediments and paleo-earthquakes. Lower Hutt, N.Z.: GNS Science. </t>
    </r>
    <r>
      <rPr>
        <i/>
        <sz val="10"/>
        <rFont val="Calibri"/>
        <family val="2"/>
        <scheme val="minor"/>
      </rPr>
      <t>GNS Science report 2015/27.</t>
    </r>
    <r>
      <rPr>
        <sz val="10"/>
        <rFont val="Calibri"/>
        <family val="2"/>
        <scheme val="minor"/>
      </rPr>
      <t> 55 p.</t>
    </r>
  </si>
  <si>
    <t>Langridge, R.M.; Townsend, D.B.; Persaud, M. 2003b Paleoseismic assessment of the active Mokonui Fault, Wairarapa. Institute of Geological &amp; Nuclear Sciences client report 2003/68. 35 p</t>
  </si>
  <si>
    <r>
      <t>Langridge, R.M.; Van Dissen, R.J.; Rhoades, D.A.; Villamor, P.; Little, T.; Litchfield, N.J.; Clark, K.J.; Clark, D. 2011c Five thousand years of surface ruptures on the Wellington Fault, New Zealand : implications for recurrence and fault segmentation.</t>
    </r>
    <r>
      <rPr>
        <i/>
        <sz val="10"/>
        <rFont val="Calibri"/>
        <family val="2"/>
        <scheme val="minor"/>
      </rPr>
      <t> Bulletin of the Seismological Society of America, 101(5): </t>
    </r>
    <r>
      <rPr>
        <sz val="10"/>
        <rFont val="Calibri"/>
        <family val="2"/>
        <scheme val="minor"/>
      </rPr>
      <t>2088-2107; doi: 10.1785/0120100340</t>
    </r>
  </si>
  <si>
    <t>Langridge, R.M.; Villamor, P.; McVerry, G.H.; Cabeza, M. 2011b A7 Makaroro River dam site, phase 1B : updated active fault and surface rupture displacement hazard and acceleration response spectra reassessment. GNS Science consultancy report 2011/300. vi, 60 p. [Client/Consultancy]</t>
  </si>
  <si>
    <r>
      <t>Lensen, G.J. 1968 Analysis of progressive fault displacement during downcutting at the Branch River terraces, South Island, New Zealand.</t>
    </r>
    <r>
      <rPr>
        <i/>
        <sz val="10"/>
        <rFont val="Calibri"/>
        <family val="2"/>
        <scheme val="minor"/>
      </rPr>
      <t> Geological Society of America Bulletin, 79: </t>
    </r>
    <r>
      <rPr>
        <sz val="10"/>
        <rFont val="Calibri"/>
        <family val="2"/>
        <scheme val="minor"/>
      </rPr>
      <t>545-556</t>
    </r>
  </si>
  <si>
    <r>
      <t>Litchfield, N.J.; Berryman, K.R. 2005 Correlation of fluvial terraces within the Hikurangi Margin, New Zealand : implications for climate and baselevel controls.</t>
    </r>
    <r>
      <rPr>
        <i/>
        <sz val="10"/>
        <rFont val="Calibri"/>
        <family val="2"/>
        <scheme val="minor"/>
      </rPr>
      <t> Geomorphology, 68(3/4): </t>
    </r>
    <r>
      <rPr>
        <sz val="10"/>
        <rFont val="Calibri"/>
        <family val="2"/>
        <scheme val="minor"/>
      </rPr>
      <t>291-313</t>
    </r>
  </si>
  <si>
    <r>
      <t>Litchfield, N.J.; Clark, K.J. 2015 Fluvial terrace formation in the lower Awhea and Pahaoa River valleys, New Zealand : implications for tectonic and sea-level controls.</t>
    </r>
    <r>
      <rPr>
        <i/>
        <sz val="10"/>
        <rFont val="Calibri"/>
        <family val="2"/>
        <scheme val="minor"/>
      </rPr>
      <t> Geomorphology, 231: </t>
    </r>
    <r>
      <rPr>
        <sz val="10"/>
        <rFont val="Calibri"/>
        <family val="2"/>
        <scheme val="minor"/>
      </rPr>
      <t>212-228; doi: 10.1016/j.geomorph.2014.12.009</t>
    </r>
  </si>
  <si>
    <r>
      <t>Litchfield, N.J.; Clark, K.J.; Cochran, U.A.; Palmer, A.S.; Mountjoy, J.; Mueller, C.; Morgenstern, R.; Berryman, K.R.; McFadden, B.G.; Steele, R.; Reitman, N.; Howarth, J.D.; Villamor, P. 2020 Marine terraces reveal complex near-shore upper-plate faulting in the northern Hikurangi Margin, New Zealand.</t>
    </r>
    <r>
      <rPr>
        <i/>
        <sz val="10"/>
        <rFont val="Calibri"/>
        <family val="2"/>
        <scheme val="minor"/>
      </rPr>
      <t> Bulletin of the Seismological Society of America, 110(2): </t>
    </r>
    <r>
      <rPr>
        <sz val="10"/>
        <rFont val="Calibri"/>
        <family val="2"/>
        <scheme val="minor"/>
      </rPr>
      <t>825-849; doi: 10.1785/0120190208</t>
    </r>
  </si>
  <si>
    <r>
      <t>Litchfield, N.J.; Van Dissen, R.J.; Heron, D.W.; Rhoades, D.A. 2006 Constraints on the timing of the three most recent surface rupture events and recurrence interval for the Ohariu Fault : trenching results from MacKays Crossing, Wellington, New Zealand.</t>
    </r>
    <r>
      <rPr>
        <i/>
        <sz val="10"/>
        <rFont val="Calibri"/>
        <family val="2"/>
        <scheme val="minor"/>
      </rPr>
      <t> New Zealand Journal of Geology and Geophysics, 49(1): </t>
    </r>
    <r>
      <rPr>
        <sz val="10"/>
        <rFont val="Calibri"/>
        <family val="2"/>
        <scheme val="minor"/>
      </rPr>
      <t>57-61; doi: 10.1080/00288306.2006.9515147</t>
    </r>
  </si>
  <si>
    <r>
      <t>Lowe, D.J.; Shane, P.A.R.; Alloway, B.V.; Newnham, R.M. 2008 Fingerprints and age models for widespread New Zealand tephra marker beds erupted since 30,000 years ago : a framework for NZ-INTIMATE.</t>
    </r>
    <r>
      <rPr>
        <i/>
        <sz val="10"/>
        <rFont val="Calibri"/>
        <family val="2"/>
        <scheme val="minor"/>
      </rPr>
      <t> Quaternary Science Reviews, 27(1/2): </t>
    </r>
    <r>
      <rPr>
        <sz val="10"/>
        <rFont val="Calibri"/>
        <family val="2"/>
        <scheme val="minor"/>
      </rPr>
      <t>95-126; doi: 10.1016/j.quascirev.2007.01.013</t>
    </r>
  </si>
  <si>
    <r>
      <t>Manighetti, I.; Perrin, C.; Dominguez, S.; Garambois, S.; Gaudemer, Y.; Malavieille, J.; Matteo, L.; Delor, E.; Vitard, C.; Beauprêtre, S. 2015 Recovering paleoearthquake slip record in a highly dynamic alluvial and tectonic region (Hope fault, New Zealand) from airborne lidar.</t>
    </r>
    <r>
      <rPr>
        <i/>
        <sz val="10"/>
        <rFont val="Calibri"/>
        <family val="2"/>
        <scheme val="minor"/>
      </rPr>
      <t> Journal of Geophysical Research. Solid Earth, 120(6): </t>
    </r>
    <r>
      <rPr>
        <sz val="10"/>
        <rFont val="Calibri"/>
        <family val="2"/>
        <scheme val="minor"/>
      </rPr>
      <t>4484-4509; doi: 10.1002/2014JB011787</t>
    </r>
  </si>
  <si>
    <r>
      <t>Manville, V.R.; Wilson, C.J.N. 2004 The 26.5 ka Oruanui eruption, New Zealand : a review of the roles of volcanism and climate in the post-eruptive sedimentary response.</t>
    </r>
    <r>
      <rPr>
        <i/>
        <sz val="10"/>
        <rFont val="Calibri"/>
        <family val="2"/>
        <scheme val="minor"/>
      </rPr>
      <t> New Zealand Journal of Geology and Geophysics, 47(3): </t>
    </r>
    <r>
      <rPr>
        <sz val="10"/>
        <rFont val="Calibri"/>
        <family val="2"/>
        <scheme val="minor"/>
      </rPr>
      <t>525-547</t>
    </r>
  </si>
  <si>
    <r>
      <t>Mason, D.P.M.; Little, T.A.; Van Dissen, R.J. 2006 Refinements to the paleoseismic chronology of the eastern Awatere Fault from trenches near Upcot Saddle, Marlborough, New Zealand.</t>
    </r>
    <r>
      <rPr>
        <i/>
        <sz val="10"/>
        <rFont val="Calibri"/>
        <family val="2"/>
        <scheme val="minor"/>
      </rPr>
      <t> New Zealand Journal of Geology and Geophysics, 49(3): </t>
    </r>
    <r>
      <rPr>
        <sz val="10"/>
        <rFont val="Calibri"/>
        <family val="2"/>
        <scheme val="minor"/>
      </rPr>
      <t>383-397; doi: 10.1080/00288306.2006.9515175</t>
    </r>
  </si>
  <si>
    <r>
      <t>McClymont, A.F.; Villamor, P.; Green, A.G. 2009 Fault displacement accumulation and slip rate variability within the Taupo Rift (New Zealand) based on trench and 3-D ground-penetrating radar data.</t>
    </r>
    <r>
      <rPr>
        <i/>
        <sz val="10"/>
        <rFont val="Calibri"/>
        <family val="2"/>
        <scheme val="minor"/>
      </rPr>
      <t> Tectonics, 28: </t>
    </r>
    <r>
      <rPr>
        <sz val="10"/>
        <rFont val="Calibri"/>
        <family val="2"/>
        <scheme val="minor"/>
      </rPr>
      <t>TC4005; doi: 10.1029/2008TC002334</t>
    </r>
  </si>
  <si>
    <r>
      <t xml:space="preserve">McCormac, F.G.; Reimer, P.G.; Hogg, A.G.; Higham, T.F.G.; Baillie, M.G.L.; Palmer, J.; Stuiver, M. 2002. Calibration of the radiocarbon time scale for the Southern Hemisphere: AD 1850-950. </t>
    </r>
    <r>
      <rPr>
        <i/>
        <sz val="10"/>
        <rFont val="Calibri"/>
        <family val="2"/>
        <scheme val="minor"/>
      </rPr>
      <t xml:space="preserve">Radiocarbon 44: </t>
    </r>
    <r>
      <rPr>
        <sz val="10"/>
        <rFont val="Calibri"/>
        <family val="2"/>
        <scheme val="minor"/>
      </rPr>
      <t>641-651.</t>
    </r>
  </si>
  <si>
    <r>
      <t>McSaveney, M.J.; Graham, I.J.; Begg, J.G.; Beu, A.G.; Hull, A.G.; Kim, K.; Zondervan, A. 2006 Late Holocene uplift of beach ridges at Turakirae Head, south Wellington coast, New Zealand.</t>
    </r>
    <r>
      <rPr>
        <i/>
        <sz val="10"/>
        <rFont val="Calibri"/>
        <family val="2"/>
        <scheme val="minor"/>
      </rPr>
      <t> New Zealand Journal of Geology and Geophysics, 49(3): </t>
    </r>
    <r>
      <rPr>
        <sz val="10"/>
        <rFont val="Calibri"/>
        <family val="2"/>
        <scheme val="minor"/>
      </rPr>
      <t>337-358</t>
    </r>
  </si>
  <si>
    <t>Mouslopoulou, V. 2006 Quaternary geometry, kinematics and paleoearthquake history at the intersection of the strike-slip North Island Fault System and Taupo Rift, New Zealand. PhD (Geology) thesis, Victoria University of Wellington. 437 p.</t>
  </si>
  <si>
    <r>
      <t>Mouslopoulou, V.; Nicol, A.; Little, T.A.; Begg, J.G. 2009 Palaeoearthquake surface rupture in a transition zone from strike-slip to oblique-normal slip and its implications to seismic hazard, North Island Fault System, New Zealand. p. 269-292 IN: Reicherter, K.; Michetti, A.M.; Silva, P.G. (eds) </t>
    </r>
    <r>
      <rPr>
        <i/>
        <sz val="10"/>
        <rFont val="Calibri"/>
        <family val="2"/>
        <scheme val="minor"/>
      </rPr>
      <t>Palaeoseismology : historical and prehistorical records of earthquake ground effects for seismic hazard assessment.</t>
    </r>
    <r>
      <rPr>
        <sz val="10"/>
        <rFont val="Calibri"/>
        <family val="2"/>
        <scheme val="minor"/>
      </rPr>
      <t> London: Geological Society. </t>
    </r>
    <r>
      <rPr>
        <i/>
        <sz val="10"/>
        <rFont val="Calibri"/>
        <family val="2"/>
        <scheme val="minor"/>
      </rPr>
      <t>Geological Society special publication 316.</t>
    </r>
  </si>
  <si>
    <r>
      <t>Nicol, A.; Van Dissen, R.J. 2018 A 6000-year record of surface-rupturing paleoearthquakes on the Wairau Fault, New Zealand.</t>
    </r>
    <r>
      <rPr>
        <i/>
        <sz val="10"/>
        <rFont val="Calibri"/>
        <family val="2"/>
        <scheme val="minor"/>
      </rPr>
      <t> New Zealand Journal of Geology and Geophysics, 61(3): </t>
    </r>
    <r>
      <rPr>
        <sz val="10"/>
        <rFont val="Calibri"/>
        <family val="2"/>
        <scheme val="minor"/>
      </rPr>
      <t>341-358; doi: 10.1080/00288306.2018.1498360</t>
    </r>
  </si>
  <si>
    <r>
      <t>Nicol, A.; Van Dissen, R.J.; Vella, P.; Alloway, B.V.; Melhuish, A. 2002 Growth of contractional structures during the last 10 m.y. at the southern end of the emergent Hikurangi forearc basin, New Zealand.</t>
    </r>
    <r>
      <rPr>
        <i/>
        <sz val="10"/>
        <rFont val="Calibri"/>
        <family val="2"/>
        <scheme val="minor"/>
      </rPr>
      <t> New Zealand Journal of Geology and Geophysics, 45(3): </t>
    </r>
    <r>
      <rPr>
        <sz val="10"/>
        <rFont val="Calibri"/>
        <family val="2"/>
        <scheme val="minor"/>
      </rPr>
      <t>365-385; doi: 10.1080/00288306.2002.9514979</t>
    </r>
  </si>
  <si>
    <r>
      <t>Ota, Y.; Berryman, K.R.; Hull, A.G.; Miyauchi, T.; Iso, N. 1988a Age and height distribution of Holocene transgressive deposits in eastern North Island, New Zealand.</t>
    </r>
    <r>
      <rPr>
        <i/>
        <sz val="10"/>
        <rFont val="Calibri"/>
        <family val="2"/>
        <scheme val="minor"/>
      </rPr>
      <t> Palaeogeography, Palaeoclimatology, Palaeoecology, 68: </t>
    </r>
    <r>
      <rPr>
        <sz val="10"/>
        <rFont val="Calibri"/>
        <family val="2"/>
        <scheme val="minor"/>
      </rPr>
      <t>135-151</t>
    </r>
  </si>
  <si>
    <r>
      <t>Pace, B.; Stirling, M.W.; Litchfield, N.J.; Rieser, U. 2005 New active fault data and seismic hazard estimates for west Otago, New Zealand.</t>
    </r>
    <r>
      <rPr>
        <i/>
        <sz val="10"/>
        <rFont val="Calibri"/>
        <family val="2"/>
        <scheme val="minor"/>
      </rPr>
      <t> New Zealand Journal of Geology and Geophysics, 48(1): </t>
    </r>
    <r>
      <rPr>
        <sz val="10"/>
        <rFont val="Calibri"/>
        <family val="2"/>
        <scheme val="minor"/>
      </rPr>
      <t>75-83</t>
    </r>
  </si>
  <si>
    <r>
      <t xml:space="preserve">Pearson, G.W.; Stuiver, M. 1986. High-precision calibration of the radiocarbon time scale, 500-2500 BC. </t>
    </r>
    <r>
      <rPr>
        <i/>
        <sz val="10"/>
        <rFont val="Calibri"/>
        <family val="2"/>
        <scheme val="minor"/>
      </rPr>
      <t xml:space="preserve">Radiocarbon, 28: </t>
    </r>
    <r>
      <rPr>
        <sz val="10"/>
        <rFont val="Calibri"/>
        <family val="2"/>
        <scheme val="minor"/>
      </rPr>
      <t>839-862.</t>
    </r>
  </si>
  <si>
    <r>
      <t>Persaud, M.; Villamor, P.; Berryman, K.R.; Ries, W.; Cousins, W.J.; Litchfield, N.J.; Alloway, B.V. 2016 The Kerepehi Fault, Hauraki Rift, North Island, New Zealand : active fault characterisation and hazard.</t>
    </r>
    <r>
      <rPr>
        <i/>
        <sz val="10"/>
        <rFont val="Calibri"/>
        <family val="2"/>
        <scheme val="minor"/>
      </rPr>
      <t> New Zealand Journal of Geology and Geophysics, 59(1): </t>
    </r>
    <r>
      <rPr>
        <sz val="10"/>
        <rFont val="Calibri"/>
        <family val="2"/>
        <scheme val="minor"/>
      </rPr>
      <t>117-135; doi: 10.1080/00288306.2015.1127826</t>
    </r>
  </si>
  <si>
    <r>
      <t>Rattenbury, M.S.; Cooper, A.F.; Norris, R.J. 1988 Recent Alpine Fault thrusting at Kaka Creek, central Westland, New Zealand.</t>
    </r>
    <r>
      <rPr>
        <i/>
        <sz val="10"/>
        <rFont val="Calibri"/>
        <family val="2"/>
        <scheme val="minor"/>
      </rPr>
      <t> New Zealand Journal of Geology and Geophysics, 31(1): </t>
    </r>
    <r>
      <rPr>
        <sz val="10"/>
        <rFont val="Calibri"/>
        <family val="2"/>
        <scheme val="minor"/>
      </rPr>
      <t>117-120; doi: 10.1080/00288306.1988.10417816</t>
    </r>
  </si>
  <si>
    <r>
      <t>Schaefer, J.M.; Denton, G.H.; Barrell, D.J.A.; Ivy-Ochs, S.; Kubik, P.W.; Andersen, B.G.; Phillips, F.M.; Lowell, T.V.; Schluechter, C. 2006 Near-synchronous interhemispheric termination of the last glacial maximum in mid-latitudes.</t>
    </r>
    <r>
      <rPr>
        <i/>
        <sz val="10"/>
        <rFont val="Calibri"/>
        <family val="2"/>
        <scheme val="minor"/>
      </rPr>
      <t> Science, 312(5779): </t>
    </r>
    <r>
      <rPr>
        <sz val="10"/>
        <rFont val="Calibri"/>
        <family val="2"/>
        <scheme val="minor"/>
      </rPr>
      <t>1510-1513</t>
    </r>
  </si>
  <si>
    <r>
      <t xml:space="preserve">Stuiver, M.; Pearson, G.W. 1986. High-precision calibration of the radiocarbon time scale, AD 1950-500 B.C. </t>
    </r>
    <r>
      <rPr>
        <i/>
        <sz val="10"/>
        <rFont val="Calibri"/>
        <family val="2"/>
        <scheme val="minor"/>
      </rPr>
      <t>Radiocarbon, 28:</t>
    </r>
    <r>
      <rPr>
        <sz val="10"/>
        <rFont val="Calibri"/>
        <family val="2"/>
        <scheme val="minor"/>
      </rPr>
      <t xml:space="preserve"> 805-838.</t>
    </r>
  </si>
  <si>
    <r>
      <t xml:space="preserve">Stuiver, M.; Reimer, P.J. 1986. A computer program for radiocarbon age calibration. </t>
    </r>
    <r>
      <rPr>
        <i/>
        <sz val="10"/>
        <rFont val="Calibri"/>
        <family val="2"/>
        <scheme val="minor"/>
      </rPr>
      <t xml:space="preserve">Radiocarbon, 28: </t>
    </r>
    <r>
      <rPr>
        <sz val="10"/>
        <rFont val="Calibri"/>
        <family val="2"/>
        <scheme val="minor"/>
      </rPr>
      <t>1022-1030.</t>
    </r>
  </si>
  <si>
    <r>
      <t xml:space="preserve">Stuiver, M.; Reimer, P.J. 1993. Extended 14C database and revised CALIB radiocarbon calibration program. </t>
    </r>
    <r>
      <rPr>
        <i/>
        <sz val="10"/>
        <rFont val="Calibri"/>
        <family val="2"/>
        <scheme val="minor"/>
      </rPr>
      <t xml:space="preserve">Radiocarbon, 35: </t>
    </r>
    <r>
      <rPr>
        <sz val="10"/>
        <rFont val="Calibri"/>
        <family val="2"/>
        <scheme val="minor"/>
      </rPr>
      <t>215-230.</t>
    </r>
  </si>
  <si>
    <r>
      <t xml:space="preserve">Stuiver, M.; Reimer, P.J.; Bard, E.; Beck, J.W.; Burr, G.S.; Hughen, K.A.; Kromer, B.; McCormac, G.; van der Plicht, J.; Spurk, M., 1998. INTCAL98 radiocarbon age calibration, 24,000-0 cal BP. </t>
    </r>
    <r>
      <rPr>
        <i/>
        <sz val="10"/>
        <rFont val="Calibri"/>
        <family val="2"/>
        <scheme val="minor"/>
      </rPr>
      <t xml:space="preserve">Radiocarbon 40: </t>
    </r>
    <r>
      <rPr>
        <sz val="10"/>
        <rFont val="Calibri"/>
        <family val="2"/>
        <scheme val="minor"/>
      </rPr>
      <t>1041–1083.</t>
    </r>
  </si>
  <si>
    <r>
      <t>Suggate, R.P. 1965 Late Pleistocene geology of the northern part of the South Island, New Zealand. Wellington: Government Printer. </t>
    </r>
    <r>
      <rPr>
        <i/>
        <sz val="10"/>
        <rFont val="Calibri"/>
        <family val="2"/>
        <scheme val="minor"/>
      </rPr>
      <t>New Zealand Geological Survey bulletin 77.</t>
    </r>
    <r>
      <rPr>
        <sz val="10"/>
        <rFont val="Calibri"/>
        <family val="2"/>
        <scheme val="minor"/>
      </rPr>
      <t> 91 p. </t>
    </r>
  </si>
  <si>
    <t>Taylor-Silva, B.I.; Stirling, M.W.; Litchfield, N.J.; Griffin, J.D.; van den Berg, E.J.; Wang, N. 2020 Paleoseismology of the Akatore Fault, Otago, New Zealand. New Zealand Journal of Geology and Geophysics, 63(2): 151-167; doi: 10.1080/00288306.2019.1645706</t>
  </si>
  <si>
    <r>
      <t>Townsend, D.B.; Little, T.A. 1998 Pliocene-Quaternary deformation and mechanisms of near-surface strain close to the eastern tip of the Clarence Fault, northeast Marlborough, New Zealand.</t>
    </r>
    <r>
      <rPr>
        <i/>
        <sz val="10"/>
        <rFont val="Calibri"/>
        <family val="2"/>
        <scheme val="minor"/>
      </rPr>
      <t> New Zealand Journal of Geology and Geophysics, 41(4): </t>
    </r>
    <r>
      <rPr>
        <sz val="10"/>
        <rFont val="Calibri"/>
        <family val="2"/>
        <scheme val="minor"/>
      </rPr>
      <t>401-417; doi: 10.1080/00288306.1998.9514819</t>
    </r>
  </si>
  <si>
    <r>
      <t>Townsend, D.B.; Nicol, A.; Mouslopoulou, V.; Begg, J.G.; Beetham, R.D.; Clark, D.; Giba, M.; Heron, D.W.; Lukovic, B.; McPherson, A.; Seebeck, H.; Walsh, J.J. 2010 Palaeoearthquake histories across a normal fault system in the southwest Taranaki Peninsula, New Zealand.</t>
    </r>
    <r>
      <rPr>
        <i/>
        <sz val="10"/>
        <rFont val="Calibri"/>
        <family val="2"/>
        <scheme val="minor"/>
      </rPr>
      <t> New Zealand Journal of Geology and Geophysics, 53(4): </t>
    </r>
    <r>
      <rPr>
        <sz val="10"/>
        <rFont val="Calibri"/>
        <family val="2"/>
        <scheme val="minor"/>
      </rPr>
      <t>375-394; doi: 10.1080/00288306.2010.526547</t>
    </r>
  </si>
  <si>
    <r>
      <t>Townsend, T. 1998 Paleoseismology of the Waverley Fault Zone and implications for earthquake hazard in south Taranaki, New Zealand.</t>
    </r>
    <r>
      <rPr>
        <i/>
        <sz val="10"/>
        <rFont val="Calibri"/>
        <family val="2"/>
        <scheme val="minor"/>
      </rPr>
      <t> New Zealand Journal of Geology and Geophysics, 41(4): </t>
    </r>
    <r>
      <rPr>
        <sz val="10"/>
        <rFont val="Calibri"/>
        <family val="2"/>
        <scheme val="minor"/>
      </rPr>
      <t>467-474; doi: 10.1080/00288306.1998.9514823</t>
    </r>
  </si>
  <si>
    <t>Van Dissen, R.J. 1989 Late Quaternary faulting in the Kaikoura region, southeastern Marlborough, New Zealand. MSc (Geology) thesis, Oregon State University</t>
  </si>
  <si>
    <r>
      <t>Van Dissen, R.J.; Berryman, K.R.; Pettinga, J.R.; Hill, N.L. 1992 Paleoseismicity of the Wellington - Hutt Valley Segment of the Wellington Fault, North Island, New Zealand.</t>
    </r>
    <r>
      <rPr>
        <i/>
        <sz val="10"/>
        <rFont val="Calibri"/>
        <family val="2"/>
        <scheme val="minor"/>
      </rPr>
      <t> New Zealand Journal of Geology and Geophysics, 35(2): </t>
    </r>
    <r>
      <rPr>
        <sz val="10"/>
        <rFont val="Calibri"/>
        <family val="2"/>
        <scheme val="minor"/>
      </rPr>
      <t>165-176; doi: 10.1080/00288306.1992.9514511</t>
    </r>
  </si>
  <si>
    <r>
      <t>Van Dissen, R.J.; Little, T.; Nicol, A. 2005 Field trip 4 : faults of eastern Marlborough : Picton, Awatere and Kekerengu. p. 85-110 IN: Pettinga, J.R.; Wandres, A.M. (eds) </t>
    </r>
    <r>
      <rPr>
        <i/>
        <sz val="10"/>
        <rFont val="Calibri"/>
        <family val="2"/>
        <scheme val="minor"/>
      </rPr>
      <t>Geological Society of New Zealand 50th annual conference, 28 November to 1 December 2005 ... Kaikoura : field trip guides.</t>
    </r>
    <r>
      <rPr>
        <sz val="10"/>
        <rFont val="Calibri"/>
        <family val="2"/>
        <scheme val="minor"/>
      </rPr>
      <t> [s.l.]: Geological Society of New Zealand. </t>
    </r>
    <r>
      <rPr>
        <i/>
        <sz val="10"/>
        <rFont val="Calibri"/>
        <family val="2"/>
        <scheme val="minor"/>
      </rPr>
      <t>Geological Society of New Zealand miscellaneous publication 119B</t>
    </r>
  </si>
  <si>
    <r>
      <t>Van Dissen, R.J.; Little, T.A.; Burke, R.M.; Tonkin, P.J.; Norton, K.P.; Bacon, S.N.; Bowers, R.; Goldstein, H.L.; Redwine, J.R.; Sutherland, D.G.; Tillinghast, S.F.; Kearse, J.R.; Whattam, J.; Townsend, D.B.; Benson, A.M.; Wang, N. 2016 Late Quaternary dextral slip rate of the Kekerengu Fault : New Zealand's third fastest on-land fault. p. 89 IN: White, J.D.L.; Smillie, R.W. </t>
    </r>
    <r>
      <rPr>
        <i/>
        <sz val="10"/>
        <rFont val="Calibri"/>
        <family val="2"/>
        <scheme val="minor"/>
      </rPr>
      <t>Geosciences 2016: Annual Conference of the Geoscience Society of New Zealand, 28 November - 1 December 2016, Lake Wanaka Centre, Wanaka: abstract volume.</t>
    </r>
    <r>
      <rPr>
        <sz val="10"/>
        <rFont val="Calibri"/>
        <family val="2"/>
        <scheme val="minor"/>
      </rPr>
      <t> Wellington, N.Z.: Geoscience Society of New Zealand. </t>
    </r>
    <r>
      <rPr>
        <i/>
        <sz val="10"/>
        <rFont val="Calibri"/>
        <family val="2"/>
        <scheme val="minor"/>
      </rPr>
      <t>Geoscience Society of New Zealand miscellaneous publication 145A</t>
    </r>
  </si>
  <si>
    <r>
      <t>Van Dissen, R.J.; Nicol, A. 2009 Mid-Late Holocene paleoseismicity of the eastern Clarence Fault, Marlborough, New Zealand.</t>
    </r>
    <r>
      <rPr>
        <i/>
        <sz val="10"/>
        <rFont val="Calibri"/>
        <family val="2"/>
        <scheme val="minor"/>
      </rPr>
      <t> New Zealand Journal of Geology and Geophysics, 52(3): </t>
    </r>
    <r>
      <rPr>
        <sz val="10"/>
        <rFont val="Calibri"/>
        <family val="2"/>
        <scheme val="minor"/>
      </rPr>
      <t>195-208; doi: 10.1080/00288300909509886</t>
    </r>
  </si>
  <si>
    <r>
      <t>Van Dissen, R.J.; Rhoades, D.A.; Little, T.; Litchfield, N.J.; Carne, R.; Villamor, P. 2013 Conditional probability of rupture of the Wairarapa and Ohariu faults, New Zealand.</t>
    </r>
    <r>
      <rPr>
        <i/>
        <sz val="10"/>
        <rFont val="Calibri"/>
        <family val="2"/>
        <scheme val="minor"/>
      </rPr>
      <t> New Zealand Journal of Geology and Geophysics, 56(2): </t>
    </r>
    <r>
      <rPr>
        <sz val="10"/>
        <rFont val="Calibri"/>
        <family val="2"/>
        <scheme val="minor"/>
      </rPr>
      <t>53-67; doi: 10.1080/00288306.2012.756042</t>
    </r>
  </si>
  <si>
    <r>
      <t>Villamor, P.; Berryman, K.R. 2006 Late Quaternary geometry and kinematics of faults at the southern termination of the Taupo Volcanic Zone, New Zealand.</t>
    </r>
    <r>
      <rPr>
        <i/>
        <sz val="10"/>
        <rFont val="Calibri"/>
        <family val="2"/>
        <scheme val="minor"/>
      </rPr>
      <t> New Zealand Journal of Geology and Geophysics, 49(1): </t>
    </r>
    <r>
      <rPr>
        <sz val="10"/>
        <rFont val="Calibri"/>
        <family val="2"/>
        <scheme val="minor"/>
      </rPr>
      <t>1-21</t>
    </r>
  </si>
  <si>
    <r>
      <t>Villamor, P.; Clark, K.J.; Watson, M.; Rosenberg, M.D.; Lukovic, B.; Ries, W.; Gonzalez, A.; Milicich, S.D.; McNamara, D.D.; Pummer, B.; Sepulveda, F. 2015 New Zealand geothermal power plants as critical facilities : an active fault avoidance study in the Wairakei Geothermal Field, New Zealand. 12 p. IN: Horne, R.; Boyd, T. (eds) </t>
    </r>
    <r>
      <rPr>
        <i/>
        <sz val="10"/>
        <rFont val="Calibri"/>
        <family val="2"/>
        <scheme val="minor"/>
      </rPr>
      <t>Proceedings, World Geothermal Congress 19-24 April 2015, Australia-New Zealand.</t>
    </r>
    <r>
      <rPr>
        <sz val="10"/>
        <rFont val="Calibri"/>
        <family val="2"/>
        <scheme val="minor"/>
      </rPr>
      <t> International Geothermal Association</t>
    </r>
  </si>
  <si>
    <r>
      <t>Williams, D.N. 1975 Ohariu Fault Zone at Porirua, Wellington, New Zealand.</t>
    </r>
    <r>
      <rPr>
        <i/>
        <sz val="10"/>
        <rFont val="Calibri"/>
        <family val="2"/>
        <scheme val="minor"/>
      </rPr>
      <t> New Zealand Journal of Geology and Geophysics, 18(5): </t>
    </r>
    <r>
      <rPr>
        <sz val="10"/>
        <rFont val="Calibri"/>
        <family val="2"/>
        <scheme val="minor"/>
      </rPr>
      <t>659-665</t>
    </r>
  </si>
  <si>
    <r>
      <t>Wilson, C.J.N.; Rhoades, D.A.; Lanphere, M.A.; Calvert, A.T.; Houghton, B.F.; Weaver, S.D.; Cole, J.W. 2007 A multiple-approach radiometric age estimate for the Rotoiti and Earthquake Flat eruptions, New Zealand, with implications for the MIS 4/3 boundary.</t>
    </r>
    <r>
      <rPr>
        <i/>
        <sz val="10"/>
        <rFont val="Calibri"/>
        <family val="2"/>
        <scheme val="minor"/>
      </rPr>
      <t> Quaternary Science Reviews, 26(13/14): </t>
    </r>
    <r>
      <rPr>
        <sz val="10"/>
        <rFont val="Calibri"/>
        <family val="2"/>
        <scheme val="minor"/>
      </rPr>
      <t>1861-1870; doi: 10.1016/j.quascirev.2007.04.017</t>
    </r>
  </si>
  <si>
    <r>
      <t>Yetton, M.D. 1998 Progress in understanding the paleoseismicity of the central and northern Alpine Fault, Westland, New Zealand.</t>
    </r>
    <r>
      <rPr>
        <i/>
        <sz val="10"/>
        <rFont val="Calibri"/>
        <family val="2"/>
        <scheme val="minor"/>
      </rPr>
      <t> New Zealand Journal of Geology and Geophysics, 41(4): </t>
    </r>
    <r>
      <rPr>
        <sz val="10"/>
        <rFont val="Calibri"/>
        <family val="2"/>
        <scheme val="minor"/>
      </rPr>
      <t>475-483; doi: 10.1080/00288306.1998.9514824</t>
    </r>
  </si>
  <si>
    <t>Yetton, M.D. 2003 Marlborough District Seismic Hazard Investigation Programme - Phase 2 : paleoseismic trench investigation of the active trace of the Wairau section of the Alpine Fault, Renwick Area, Marlborough District (amended 2005). 24 p. + figs</t>
  </si>
  <si>
    <r>
      <t>Zachariasen, J.; Berryman, K.R.; Langridge, R.M.; Prentice, C.; Rymer, M.; Stirling, M.W.; Villamor, P. 2006 Timing of late Holocene surface rupture of the Wairau Fault, Marlborough, New Zealand.</t>
    </r>
    <r>
      <rPr>
        <i/>
        <sz val="10"/>
        <rFont val="Calibri"/>
        <family val="2"/>
        <scheme val="minor"/>
      </rPr>
      <t> New Zealand Journal of Geology and Geophysics, 49(1): </t>
    </r>
    <r>
      <rPr>
        <sz val="10"/>
        <rFont val="Calibri"/>
        <family val="2"/>
        <scheme val="minor"/>
      </rPr>
      <t>159-174; doi: 10.1080/00288306.2006.9515156</t>
    </r>
  </si>
  <si>
    <r>
      <t>Zachariasen, J.; Van Dissen, R.J. 2001 Paleoseismicity of the northern Horohoro Fault, Taupo Volcanic Zone, New Zealand.</t>
    </r>
    <r>
      <rPr>
        <i/>
        <sz val="10"/>
        <rFont val="Calibri"/>
        <family val="2"/>
        <scheme val="minor"/>
      </rPr>
      <t> New Zealand Journal of Geology and Geophysics, 44(3): </t>
    </r>
    <r>
      <rPr>
        <sz val="10"/>
        <rFont val="Calibri"/>
        <family val="2"/>
        <scheme val="minor"/>
      </rPr>
      <t>391-401; doi: 10.1080/00288306.2001.9514946</t>
    </r>
  </si>
  <si>
    <r>
      <t>Zinke, R.; Dolan, J.F.; Rhodes, E.J.; Van Dissen, R.J.; McGuire, C.P.; Hatem, A.E.; Brown, N.D.; Langridge, R.M. 2019 Multimillennial incremental slip rate variability of the Clarence fault at the Tophouse Road site, Marlborough fault system, New Zealand.</t>
    </r>
    <r>
      <rPr>
        <i/>
        <sz val="10"/>
        <rFont val="Calibri"/>
        <family val="2"/>
        <scheme val="minor"/>
      </rPr>
      <t> Geophysical Research Letters, 46(2): </t>
    </r>
    <r>
      <rPr>
        <sz val="10"/>
        <rFont val="Calibri"/>
        <family val="2"/>
        <scheme val="minor"/>
      </rPr>
      <t>717-725; doi: 10.1029/2018GL080688</t>
    </r>
  </si>
  <si>
    <t>Starvation - Ashley</t>
  </si>
  <si>
    <t>Kerepehi Awaiti</t>
  </si>
  <si>
    <t>NW Cardrona North</t>
  </si>
  <si>
    <t>Doctors</t>
  </si>
  <si>
    <t>Waipukaka</t>
  </si>
  <si>
    <t>Flaxmore - Waimea - Tahunanui</t>
  </si>
  <si>
    <t>Whirinaki East</t>
  </si>
  <si>
    <t>Table Cape Trenches</t>
  </si>
  <si>
    <t>300-100 cal. yr BP</t>
  </si>
  <si>
    <r>
      <t xml:space="preserve">Uplifted marine terrace - lowest. OxCal model using OxCal v. 4.2, Marine13 curve, no </t>
    </r>
    <r>
      <rPr>
        <sz val="10"/>
        <color theme="1"/>
        <rFont val="Calibri"/>
        <family val="2"/>
      </rPr>
      <t>ΔR, 2 sigma uncertainties</t>
    </r>
    <r>
      <rPr>
        <sz val="10"/>
        <color theme="1"/>
        <rFont val="Calibri"/>
        <family val="2"/>
        <scheme val="minor"/>
      </rPr>
      <t>.</t>
    </r>
  </si>
  <si>
    <t>1360-1120 cal. yr BP</t>
  </si>
  <si>
    <t>Uplifted marine terrace - second lowest. Age from Clark et al. (2019), from an OxCal model using OxCal v. 4.3, Marine13 curve, ΔR = 109 ± 44, 2 sigma uncertainties.</t>
  </si>
  <si>
    <t>Berryman et al. (2018); Clark et al. (2019)</t>
  </si>
  <si>
    <t>1795-1710 cal. yr BP</t>
  </si>
  <si>
    <t>3490-3280 cal. yr BP</t>
  </si>
  <si>
    <t>5025-3570 cal. yr BP</t>
  </si>
  <si>
    <t>Auroa Point T5</t>
  </si>
  <si>
    <t>Uplifted marine terrace - third lowest. Age from Clark et al. (2019), from an OxCal model using OxCal v. 4.3, Marine13 curve, ΔR = 109 ± 44, 2 sigma uncertainties.</t>
  </si>
  <si>
    <t>Uplifted marine terrace - fourth lowest. Age from Clark et al. (2019), from an OxCal model using OxCal v. 4.3, Marine13 curve, ΔR = 109 ± 44, 2 sigma uncertainties.</t>
  </si>
  <si>
    <t>Uplifted marine terrace - fifth lowest. Age from Clark et al. (2019), from an OxCal model using OxCal v. 4.3, Marine13 curve, ΔR = 109 ± 44, 2 sigma uncertainties.</t>
  </si>
  <si>
    <r>
      <t>Clark, K.J.; Howarth, J.D.; Litchfield, N.J.; Cochran, U.A.; Turnbull, J.C.; Dowling, L.; Howell, A.; Berryman, K.R.; Wolfe, F. 2019 Geological evidence for past large earthquakes and tsunamis along the Hikurangi subduction margin, New Zealand.</t>
    </r>
    <r>
      <rPr>
        <i/>
        <sz val="10"/>
        <rFont val="Calibri"/>
        <family val="2"/>
        <scheme val="minor"/>
      </rPr>
      <t> Marine Geology, 412: </t>
    </r>
    <r>
      <rPr>
        <sz val="10"/>
        <rFont val="Calibri"/>
        <family val="2"/>
        <scheme val="minor"/>
      </rPr>
      <t>139-172; doi: 10.1016/j.margeo.2019.03.004</t>
    </r>
  </si>
  <si>
    <t>Barrell, D.J.A.; Van Dissen, R.J.; Berryman, K.R.; Read, S.A.L. 2005 Characterization of Late Quaternary displacements on the Waitangi Fault at Aviemore Dam, New Zealand. 8 p. IN: Brabhaharan, P. Planning and engineering for performance in earthquakes : conference 2005 technical papers. Wellington: New Zealand Society for Earthquake Engineering [Published]</t>
  </si>
  <si>
    <t>Maximum age constrained using an OSL and TSl age from unit 3e. 2 sigma uncertainty</t>
  </si>
  <si>
    <t>Maximum and minimum ages constrained using OSL ages of unit 3a. 2 sigma uncertainty.</t>
  </si>
  <si>
    <t>Minimum age constrained by the radiocarbon age of the oldest faulted unit. 2 sigma uncertainty</t>
  </si>
  <si>
    <t>Maximum age constrained using an OSL and TSL age from unit 3b and unit 4 since which time there has been at least one event. 2 sigma uncertainty.</t>
  </si>
  <si>
    <t xml:space="preserve">Barrell et al. (2002, 2005) </t>
  </si>
  <si>
    <t>Combined above trenches</t>
  </si>
  <si>
    <t>Barrell et al. (2002, 2005)</t>
  </si>
  <si>
    <t>13100-14100</t>
  </si>
  <si>
    <t>Age defined from 8 OSL ages from several trenches. 2 sigma uncertainty.</t>
  </si>
  <si>
    <t xml:space="preserve">Barrell et al. (2005) </t>
  </si>
  <si>
    <t>From 2-3 events in 13.1-14.1 ka</t>
  </si>
  <si>
    <t>Combined Heron et al. (1998)</t>
  </si>
  <si>
    <t>Wairau seismic lines</t>
  </si>
  <si>
    <t>2.0 ± 0.3 ka</t>
  </si>
  <si>
    <t>2.9 ± 0.5 ka</t>
  </si>
  <si>
    <t>5.5 ± 0.8 ka</t>
  </si>
  <si>
    <t>7.4 ± 1.7 ka</t>
  </si>
  <si>
    <t>9.0 ± 2.7 ka</t>
  </si>
  <si>
    <t>11.0 ± 1.4 ka</t>
  </si>
  <si>
    <t>14.1 ± 2.7 ka</t>
  </si>
  <si>
    <t>17.9 ± 3.4 ka</t>
  </si>
  <si>
    <t>Barnes and Pondard (2010)</t>
  </si>
  <si>
    <t>2200 (900-3800)</t>
  </si>
  <si>
    <t>Not stated. Likely to be calculated from inter-event times.</t>
  </si>
  <si>
    <t>Composite record from growth sequences on up to 10 seismic profiles. Dating from an age model constructed using a calculated age of the post-glacial transgressive surface and constant sedimentation rates. 2 sigma uncertainties.</t>
  </si>
  <si>
    <t>Cloudy seismic lines</t>
  </si>
  <si>
    <t>1.8 ± 0.3 ka</t>
  </si>
  <si>
    <t>3.1 ± 0.6 ka</t>
  </si>
  <si>
    <t>8.7 ± 1.6 ka</t>
  </si>
  <si>
    <t>9.7 ± 1.7 ka</t>
  </si>
  <si>
    <t>13.2 ± 2.6 ka</t>
  </si>
  <si>
    <t>16.2 ± 3.7 ka</t>
  </si>
  <si>
    <t>Composite record from growth sequences on up to 4 seismic profiles. Dating from an age model constructed using a calculated age of the post-glacial transgressive surface and constant sedimentation rates. 2 sigma uncertainties.</t>
  </si>
  <si>
    <t>Pondard and Barnes (2010)</t>
  </si>
  <si>
    <t>Cloudy</t>
  </si>
  <si>
    <t>Wairau 2</t>
  </si>
  <si>
    <t>Cloudy 2</t>
  </si>
  <si>
    <t>Not stated but likely to be from inter-event times.</t>
  </si>
  <si>
    <r>
      <t>Barnes, P.M.; Pondard, N 2010 Derivation of direct on-fault submarine paleoearthquake records from high-resolution seismic reflection profiles: Wairau Fault, New Zealand.</t>
    </r>
    <r>
      <rPr>
        <i/>
        <sz val="10"/>
        <rFont val="Calibri"/>
        <family val="2"/>
        <scheme val="minor"/>
      </rPr>
      <t> Geochemistry Geophysics Geosystems, 11(11): </t>
    </r>
    <r>
      <rPr>
        <sz val="10"/>
        <rFont val="Calibri"/>
        <family val="2"/>
        <scheme val="minor"/>
      </rPr>
      <t>Q11013; doi: 10.1029/2010GC003254</t>
    </r>
  </si>
  <si>
    <r>
      <rPr>
        <sz val="10"/>
        <color theme="1"/>
        <rFont val="Calibri"/>
        <family val="2"/>
      </rPr>
      <t>≥</t>
    </r>
    <r>
      <rPr>
        <sz val="10"/>
        <color theme="1"/>
        <rFont val="Calibri"/>
        <family val="2"/>
        <scheme val="minor"/>
      </rPr>
      <t>1420-1695</t>
    </r>
  </si>
  <si>
    <t>Vernon 4</t>
  </si>
  <si>
    <t>Vernon seismic lines</t>
  </si>
  <si>
    <t>3.2 ± 0.7 ka</t>
  </si>
  <si>
    <t>5.2 ± 1.2 ka</t>
  </si>
  <si>
    <t>9.2 ± 2.5 ka</t>
  </si>
  <si>
    <t>11.4 ± 3.3 ka</t>
  </si>
  <si>
    <t>15.3 ± 3.5 ka</t>
  </si>
  <si>
    <t>Composite record from growth sequences on up to 2 seismic profiles. Dating from an age model constructed using a calculated age of the post-glacial transgressive surface and constant sedimentation rates. 2 sigma uncertainties.</t>
  </si>
  <si>
    <t>3100 (2000-4000)</t>
  </si>
  <si>
    <t>Not stated but likely to be from inter-event times</t>
  </si>
  <si>
    <t>Lake Kaniere cores</t>
  </si>
  <si>
    <t>1685-1744 CE</t>
  </si>
  <si>
    <t>1362-1425 CE</t>
  </si>
  <si>
    <t>1086-1171 CE</t>
  </si>
  <si>
    <t>921-1006 CE</t>
  </si>
  <si>
    <t>573-683 CE</t>
  </si>
  <si>
    <t>345-475 CE</t>
  </si>
  <si>
    <t>72-202 CE</t>
  </si>
  <si>
    <t>181-66 BCE</t>
  </si>
  <si>
    <t>410-291 BCE</t>
  </si>
  <si>
    <t>586-447 BCE</t>
  </si>
  <si>
    <t>949-803 BCE</t>
  </si>
  <si>
    <t>1117-984 BCE</t>
  </si>
  <si>
    <t>Howarth et al. (2021)</t>
  </si>
  <si>
    <t>1693-1740 CE</t>
  </si>
  <si>
    <t>1370-1410 CE</t>
  </si>
  <si>
    <t>1100-1180 CE</t>
  </si>
  <si>
    <t>915-981 CE</t>
  </si>
  <si>
    <t>584-662 CE</t>
  </si>
  <si>
    <t>330-437 CE</t>
  </si>
  <si>
    <t>174-78 BCE</t>
  </si>
  <si>
    <t>50 - 145 CE</t>
  </si>
  <si>
    <t>388-313 BCE</t>
  </si>
  <si>
    <t>592-498 BCE</t>
  </si>
  <si>
    <t>880-776 BCE</t>
  </si>
  <si>
    <t>1188-1066 BCE</t>
  </si>
  <si>
    <t>1438-1362 BCE</t>
  </si>
  <si>
    <t>1696-1596 BCE</t>
  </si>
  <si>
    <t>1886-1770 BCE</t>
  </si>
  <si>
    <t>Howarth et al. (2012, 2021)</t>
  </si>
  <si>
    <t>OxCal model from age depth modelling constrained by 65 radiocarbon ages. Calibrated using SHCal13, assume 2 sigma uncertainties.</t>
  </si>
  <si>
    <t>OxCal model from age depth modelling constrained by 26 radiocarbon ages. Calibrated using SHCal13, assume 2 sigma uncertainties. Inferred to be the 1717 AD earthquake.</t>
  </si>
  <si>
    <t>Howarth et al. (2014, 2021)</t>
  </si>
  <si>
    <t>1668-1732 CE</t>
  </si>
  <si>
    <t>1386-1421 CE</t>
  </si>
  <si>
    <t>1060-1183 CE</t>
  </si>
  <si>
    <t>822-1008 CE</t>
  </si>
  <si>
    <t>563-677 CE</t>
  </si>
  <si>
    <t>353-420 CE</t>
  </si>
  <si>
    <t xml:space="preserve">OxCal model from age depth modelling constrained by 26 radiocarbon ages. Calibrated using SHCal13, assume 2 sigma uncertainties. </t>
  </si>
  <si>
    <t>1681-1769 CE</t>
  </si>
  <si>
    <t>1365-1426 CE</t>
  </si>
  <si>
    <t>1166-1213 CE</t>
  </si>
  <si>
    <t>969-1022 CE</t>
  </si>
  <si>
    <t>916-991 CE</t>
  </si>
  <si>
    <t>585-645 CE</t>
  </si>
  <si>
    <t>329-430 CE</t>
  </si>
  <si>
    <t>94-206 CE</t>
  </si>
  <si>
    <t>148 -18 BCE</t>
  </si>
  <si>
    <t>OxCal model from age depth modelling constrained by 26 radiocarbon ages. Calibrated using SHCal13, assume 2 sigma uncertainties.  Inferred to be the 1717 AD earthquake.</t>
  </si>
  <si>
    <t>OxCal model from age depth modelling constrained by 37 radiocarbon ages. Calibrated using SHCal13, assume 2 sigma uncertainties.</t>
  </si>
  <si>
    <t>Lakes Ellery, Paringa, Mapourika and Kaniere combined</t>
  </si>
  <si>
    <t>1696-1726 CE</t>
  </si>
  <si>
    <t>1386-1406 CE</t>
  </si>
  <si>
    <t>1144-1180 CE</t>
  </si>
  <si>
    <t>936-978 CE</t>
  </si>
  <si>
    <t>601-642 CE</t>
  </si>
  <si>
    <t>373-413 CE</t>
  </si>
  <si>
    <t>91-136 CE</t>
  </si>
  <si>
    <t>144-80 BCE</t>
  </si>
  <si>
    <t>382-324 BCE</t>
  </si>
  <si>
    <t>569-495 BCE</t>
  </si>
  <si>
    <t>888-799 BCE</t>
  </si>
  <si>
    <t>1140-1050 BCE</t>
  </si>
  <si>
    <t>1436-1361 BCE</t>
  </si>
  <si>
    <t>1694-1594 BCE</t>
  </si>
  <si>
    <t>1884-1768 BCE</t>
  </si>
  <si>
    <t>Age calculated from all 4 lakes using OxCal 4.3 and the Combine function. SCHal13 and assume 2 sigma uncertainties.</t>
  </si>
  <si>
    <t>Age calculated from lakes Ellery, Paringa and Kaniere using OxCal 4.3 and the Combine function. SCHal13 and assume 2 sigma uncertainties.</t>
  </si>
  <si>
    <t>Age calculated from lakes Paringa and Kaniere using OxCal 4.3 and the Combine function. SCHal13 and assume 2 sigma uncertainties.</t>
  </si>
  <si>
    <t>From Lake Paringa. SCHal13 and assume 2 sigma uncertainties.</t>
  </si>
  <si>
    <t>OxCal model from age depth modelling constrained by 37 radiocarbon ages. Calibrated using SHCal13, assume 2 sigma uncertainties. Inferred to be 1717 AD earthquake. A younger event is listed in Esupp Table 3; 1809-1880 CE.</t>
  </si>
  <si>
    <t xml:space="preserve">OxCal model from age depth modelling constrained by 26 radiocarbon ages. Calibrated using SHCal13, assume 2 sigma uncertainties.  </t>
  </si>
  <si>
    <t>Howarth et al. (2016, 2021)</t>
  </si>
  <si>
    <t>249 ± 58</t>
  </si>
  <si>
    <t>Calculated using OxCal 4.3 Sequence Prior. 1 sigma uncertainty.</t>
  </si>
  <si>
    <t>Combined Death Trenches</t>
  </si>
  <si>
    <t>6</t>
  </si>
  <si>
    <t>Te Hoe / Hautapu Trench</t>
  </si>
  <si>
    <t>&lt;0.8 kyr BP</t>
  </si>
  <si>
    <t>From differential displacement of tephra units. Post Kaharoa Tephra. ID method not stated and no uncertainties given.</t>
  </si>
  <si>
    <t>Hull (1983); Mouslopoulou (2006); Mouslpoulou et al. (2009)</t>
  </si>
  <si>
    <t>9.5-1.8 kyr BP</t>
  </si>
  <si>
    <t>From differential displacement of tephra units.Bracketed by Rotoma and Taupo tephras. Noted could be 3 events. ID method not stated and no uncertainties given.</t>
  </si>
  <si>
    <t>From differential displacement of tephra units. Bracketed between Taupo and Kaharoa tephras. ID method not stated and no uncertainties given.</t>
  </si>
  <si>
    <t>≥3</t>
  </si>
  <si>
    <t>Syme Trench</t>
  </si>
  <si>
    <t>&lt;1.8 kyr BP</t>
  </si>
  <si>
    <t>10-9.831 ± 0.346 kyr BP</t>
  </si>
  <si>
    <t>&gt;10.1 kyr BP</t>
  </si>
  <si>
    <t>From displacement of Taupo Tephra. No uncertainties given.</t>
  </si>
  <si>
    <t>Bracketed between Mangatete Tephra and radiocarbon age of charcoal from a colluvial wedge. No details on calibration method but likely SHCAL04. 2 sigma uncertainties.</t>
  </si>
  <si>
    <t>Predates Karapiti tephra. No uncertainties given.</t>
  </si>
  <si>
    <t>Hanson (1998); Mouslopoulou (2006); Mouslopoulou et al. (2009)</t>
  </si>
  <si>
    <t>Ruahine: North</t>
  </si>
  <si>
    <t>4.055 ± 0.015 - 3.5 kyr BP</t>
  </si>
  <si>
    <t>6738 ± 204 - 4055 ± 15 yrs BP</t>
  </si>
  <si>
    <t>13.0-10 kyr BP</t>
  </si>
  <si>
    <t>&gt;13.8 kyr BP</t>
  </si>
  <si>
    <t>Bracketed by the Waimihia and Taupo tephras. No uncertainties given.</t>
  </si>
  <si>
    <t>Davis Trenches</t>
  </si>
  <si>
    <t>Bracketed by the Waimihia tephra and radiocarbon date from wood. Calibration curve not stated, but likely to be SHCAL04, 2 sigma uncertainty. No uncertainty given for tephra age.</t>
  </si>
  <si>
    <t>Bracketed by Waiohau and Mangamate tephras. No age uncertainties given.</t>
  </si>
  <si>
    <t>Pre-dates Waiohau tephra. No age uncertainty given.</t>
  </si>
  <si>
    <t>Bracketed by wood radiocarbon ages. Calibration curve not stated, but likely to be SHCAL04, 2 sigma uncertainties. May be events missing 10-6.7 ka.</t>
  </si>
  <si>
    <t>McCool 1 Trench</t>
  </si>
  <si>
    <t>5919 ± 257 - 4728 ± 145 yrs BP</t>
  </si>
  <si>
    <t>&lt;16810 ± 575 yrs BP</t>
  </si>
  <si>
    <t>From displacement of Taupo Tephra, but could also be post-600 yr BP from a radiocarbon age of peat of 614 ± 20 yrs BP. No details on calibration method but likely SHCAL04. 2 sigma uncertainties.</t>
  </si>
  <si>
    <t>Bracketed between Waimihia and Taupo tephras. No age uncertainties given.</t>
  </si>
  <si>
    <t>Bracketed between peat and wood radiocarbon ages.  No details on calibration method but likely SHCAL04. 2 sigma uncertainties.</t>
  </si>
  <si>
    <t>Maximum age from radiocarbon wood date. No details on calibration method but likely SHCAL04. 2 sigma uncertainties.</t>
  </si>
  <si>
    <t>Tasman 1 Trench</t>
  </si>
  <si>
    <t>Cornes 1 Trench</t>
  </si>
  <si>
    <t>13.8-5.6 kyr BP</t>
  </si>
  <si>
    <t>17.6-13.8 kyr BP</t>
  </si>
  <si>
    <t>Bracketed by Whakatane and Taupo tephras. Tephra's reanalysed and reinterpreted by Mouslopoulou. No age uncertainties reported. Also reports an exaimated minimum age of 3690 kyr BP from McMorran and Berryman (1991).</t>
  </si>
  <si>
    <t>Bracketed by Waiohau and Whakatane tephras. Tephra's reanalysed and reinterpreted by Mouslopoulou. No age uncertainties reported.</t>
  </si>
  <si>
    <t>Bracketed by Whakatane and Taupo tephras. Tephra's reanalysed and reinterpreted by Mouslopoulou. No age uncertainties reported.</t>
  </si>
  <si>
    <t>Bracketed by Rerewhakaaitu and  Waiohau tephras. Tephra's reanalysed and reinterpreted by Mouslopoulou. No age uncertainties reported.</t>
  </si>
  <si>
    <t>9.5-8 kyr BP</t>
  </si>
  <si>
    <t>Bracketed by Rotoma and Mamaku tephras. No age uncertainties reported.</t>
  </si>
  <si>
    <t>Woodward-Clyde (1998); Mouslopoulou (2006); Mouslpoulou et al. (2009)</t>
  </si>
  <si>
    <t>Fraser and Johnston (2006)</t>
  </si>
  <si>
    <r>
      <rPr>
        <sz val="10"/>
        <color theme="1"/>
        <rFont val="Calibri"/>
        <family val="2"/>
      </rPr>
      <t>≥</t>
    </r>
    <r>
      <rPr>
        <sz val="10"/>
        <color theme="1"/>
        <rFont val="Calibri"/>
        <family val="2"/>
        <scheme val="minor"/>
      </rPr>
      <t>3</t>
    </r>
  </si>
  <si>
    <t>Rangipo and Shawcroft Road</t>
  </si>
  <si>
    <t>2700 (1000-5700)</t>
  </si>
  <si>
    <t>Method not stated, but is from paleoearthquake data over 9.5 ka timeframe. No uncertainties reported.</t>
  </si>
  <si>
    <t>Method not stated, but is from paleoearthquake data over 13.8 ka timeframe. No uncertainties reported.</t>
  </si>
  <si>
    <t>Beanland (1989); Mouslpouolou (2006)</t>
  </si>
  <si>
    <t>15/06.2021</t>
  </si>
  <si>
    <t xml:space="preserve">Bracketed between unfaulted Taupo Tephra (from a trench c. 4 km to the north) and faulted Rotoma Tephra. </t>
  </si>
  <si>
    <t>180/1 (Troutebeck)</t>
  </si>
  <si>
    <t>7300 ± 1500</t>
  </si>
  <si>
    <t>Method not explicitly stated, but from paleoearthquakes over 17.6 ka.</t>
  </si>
  <si>
    <t>From displacement of Rerewhakaaitu tephra, but not Waiohau tephra on different fault strand to LE, PE. No age uncertainties given.</t>
  </si>
  <si>
    <t>Ambigious as to whether this is the PE or the LE. Displacement on Waiohau and Rotoma tephras is the same, suggesting no earthquakes between 13.8 and 9.5 ka. No age uncertainties given.</t>
  </si>
  <si>
    <t>3900 ± 500</t>
  </si>
  <si>
    <t>Method not explicitly stated, but from paleoearthquakes over 13.8 ka.</t>
  </si>
  <si>
    <t>4900 ± 200</t>
  </si>
  <si>
    <t>Method not explicitly stated, but from paleoearthquakes over 10 ka.</t>
  </si>
  <si>
    <t>Method not stated, but is from paleoearthquake data over 7.7 ± 0.05 ka.</t>
  </si>
  <si>
    <t>Method not explicitly stated, but from paleoearthquakes over 13.8 ± 0.5 ka. No uncertainties given.</t>
  </si>
  <si>
    <t>Method not explicitly stated, but from paleoearthquakes over 9.5 ka.  No uncertainties reported.</t>
  </si>
  <si>
    <t>260 ± 70</t>
  </si>
  <si>
    <t>Method not stated, but presumably from inter-event times. 1 sigma uncertainty. Howarth et al. (2012)</t>
  </si>
  <si>
    <r>
      <t>2016 Kaik</t>
    </r>
    <r>
      <rPr>
        <sz val="10"/>
        <color theme="1"/>
        <rFont val="Calibri"/>
        <family val="2"/>
      </rPr>
      <t>ō</t>
    </r>
    <r>
      <rPr>
        <sz val="10"/>
        <color theme="1"/>
        <rFont val="Calibri"/>
        <family val="2"/>
        <scheme val="minor"/>
      </rPr>
      <t>ura earthquake</t>
    </r>
  </si>
  <si>
    <t xml:space="preserve">Used the five events and timings from the combined trenches. Assumed these five events have occurred since 5.209 ka (the maximum preferred age for the last event). </t>
  </si>
  <si>
    <t>Langridge et al. (2018a)</t>
  </si>
  <si>
    <t>Berryman et al. (2012b), Howarth et al. (2016, 2018)</t>
  </si>
  <si>
    <r>
      <t>Langridge, R.M.; Howarth, J.D.; Cox, S.C.; Palmer, J.G.; Sutherland, R. 2018a Frontal fault location and most recent earthquake timing for the Alpine Fault at Whataroa, Westland, New Zealand.</t>
    </r>
    <r>
      <rPr>
        <i/>
        <sz val="10"/>
        <rFont val="Calibri"/>
        <family val="2"/>
        <scheme val="minor"/>
      </rPr>
      <t> New Zealand Journal of Geology and Geophysics, 61(3): </t>
    </r>
    <r>
      <rPr>
        <sz val="10"/>
        <rFont val="Calibri"/>
        <family val="2"/>
        <scheme val="minor"/>
      </rPr>
      <t>329-340; doi: 10.1080/00288306.2018.1509878</t>
    </r>
  </si>
  <si>
    <r>
      <t>Langridge, R.M.; Rowland, J.; Villamor, P.; Mountjoy, J.; Townsend, D.B.; Nissen, E.; Madugo, C.; Ries, W.F.; Gasston, C.; Canva, A.; Hatem, A.E.; Hamling, I.J. 2018b Coseismic rupture and preliminary slip estimates for the Papatea Fault and its role in the 2016 </t>
    </r>
    <r>
      <rPr>
        <i/>
        <sz val="10"/>
        <rFont val="Calibri"/>
        <family val="2"/>
        <scheme val="minor"/>
      </rPr>
      <t>M</t>
    </r>
    <r>
      <rPr>
        <i/>
        <vertAlign val="subscript"/>
        <sz val="10"/>
        <rFont val="Calibri"/>
        <family val="2"/>
        <scheme val="minor"/>
      </rPr>
      <t>w</t>
    </r>
    <r>
      <rPr>
        <sz val="10"/>
        <rFont val="Calibri"/>
        <family val="2"/>
        <scheme val="minor"/>
      </rPr>
      <t> 7.8 Kaikoura, New Zealand, earthquake.</t>
    </r>
    <r>
      <rPr>
        <i/>
        <sz val="10"/>
        <rFont val="Calibri"/>
        <family val="2"/>
        <scheme val="minor"/>
      </rPr>
      <t> Bulletin of the Seismological Society of America, 108(3B): </t>
    </r>
    <r>
      <rPr>
        <sz val="10"/>
        <rFont val="Calibri"/>
        <family val="2"/>
        <scheme val="minor"/>
      </rPr>
      <t>1596-1622; doi: 10.1785/0120170336</t>
    </r>
  </si>
  <si>
    <t>Benson et al. (2001a)</t>
  </si>
  <si>
    <t>Hill et al. (2001) in Benson et al. (2001b)</t>
  </si>
  <si>
    <t>Villamor et al. (2008a)</t>
  </si>
  <si>
    <t>Villamor, P.; Langridge, R.M.; Ries, W.; Carne, R.; Wilson, K.J.; Seebeck, H.; Cowan. L. 2008a It's our fault, Wairarapa Fault slip rate investigations task : Completion report, is the Wairarapa Fault slip rate decreasing to the north? GNS Science consultancy report 2008/170. iv, 53 p</t>
  </si>
  <si>
    <t>Villamor, P.; Wilson, K.J.; Rosenberg, M.D.; Ries, W.; Lukovic, B. 2008b Active fault locations near the proposed Te Mihi Power Plant site. GNS Science consultancy report 2007/322. 74 p.</t>
  </si>
  <si>
    <t>Villamor et al. (2008b, 2015)</t>
  </si>
  <si>
    <t>Weninger B, Jöris O 2004. Glacial Radiocarbon Calibration. The CalPal Program. In: Tom Higham, Christopher Bronk Ramsey and Clare Owen (eds). Radiocarbon and Archaeology. Fourth International Symposium. Oxford 2002</t>
  </si>
  <si>
    <t>Ota et al. (1988b)</t>
  </si>
  <si>
    <t>Beanland and Barrow-Hurlbert (1988); Barrow-Hurlbert (1985)</t>
  </si>
  <si>
    <t>Beanland, S.; Fellows, D.L. 1984 Late Quaternary tectonic deformation in the Kawarau River area, Central Otago. New Zealand Geological Survey immediate report EDS 84/19. 9 p., 3 figs</t>
  </si>
  <si>
    <t>Beanland and Barrow-Hurlbert (1988); Beanland and Fellows (1984)</t>
  </si>
  <si>
    <r>
      <t>Beanland, S. 1984 Late Quaternary faulting in the Cardrona Valley, Central Otago. </t>
    </r>
    <r>
      <rPr>
        <i/>
        <sz val="10"/>
        <rFont val="Calibri"/>
        <family val="2"/>
        <scheme val="minor"/>
      </rPr>
      <t>New Zealand Geological Survey immediate report EDS 84/17.</t>
    </r>
    <r>
      <rPr>
        <sz val="10"/>
        <rFont val="Calibri"/>
        <family val="2"/>
        <scheme val="minor"/>
      </rPr>
      <t> 15 p., 8 figs</t>
    </r>
  </si>
  <si>
    <t>Beanland and Barrow-Hurlbert (1988); Beanland (1984)</t>
  </si>
  <si>
    <t>Used the ages the maximum and minimum ages from T00/1 and T01/3 to bracket the event age. Calibrated using Stuiver and Reimer (1993) and southern Hemisphere offset of -27 years. 2 sigma uncertainties.</t>
  </si>
  <si>
    <t>The ages from localities along the Ohariu from Heron et al. (1998) were also taken and used to further constrain the LE. Calibrated using Stuiver and Reimer (1993) and southern Hemisphere offset of -27 years. 2 sigma uncertainties.</t>
  </si>
  <si>
    <t>Van Dissen, R.J.; Hull, A.G.; Read, S.A.L. 1993 Timing of some large Holocene earthquakes on the Ostler Fault, New Zealand. p. 381-386 IN: Proceedings of the Eighth International Symposium on Recent Crustal Movements (CRCM '93), Kobe, December 6-11, 1993. Japan: Geodetic Society of Japan</t>
  </si>
  <si>
    <t xml:space="preserve">Minimum and maximum ages constrained by a radiocarbon age from overlying undisturbed soil and underlying faulted Kaharoa tephra. Calibrated ages using Stuiver and Reimer (1993) and the Southern Hemisphere correction from McCormac et al. (1998). 2-sigma uncertainty on the minimum age, no reported uncertainties on the maximum age. </t>
  </si>
  <si>
    <t>Smith (2003); Smith et al. (2012)</t>
  </si>
  <si>
    <t>1931 Hawkes Bay Earthquake</t>
  </si>
  <si>
    <t>Mouslopoulou (2006); Mouslopoulou et al. (2009)</t>
  </si>
  <si>
    <r>
      <t>Howarth, J.D.; Barth, N.C.; Fitzsimons, S.J.; Richards-Dinger, K.; Clark, K.J.; Biasi, G.P.; Cochran, U.A.; Langridge, R.M.; Berryman, K.R.; Sutherland, R. 2021 Spatiotemporal clustering of great earthquakes on a transform fault controlled by geometry.</t>
    </r>
    <r>
      <rPr>
        <i/>
        <sz val="10"/>
        <rFont val="Calibri"/>
        <family val="2"/>
        <scheme val="minor"/>
      </rPr>
      <t> Nature geoscience, Online first: </t>
    </r>
    <r>
      <rPr>
        <sz val="10"/>
        <rFont val="Calibri"/>
        <family val="2"/>
        <scheme val="minor"/>
      </rPr>
      <t>doi: 10.1038/s41561-021-00721-4</t>
    </r>
  </si>
  <si>
    <t>Hull, A.G. 1983 Trenching of the Mohaka fault near Hautapu River Hawkes Bay - 3-6 May 1983. 11 p., figs </t>
  </si>
  <si>
    <t xml:space="preserve">Maximum age from peat radiocarbon date calibrated using SHCal04 (McCormac et al., 2004), 2 sigma uncertainties. </t>
  </si>
  <si>
    <t xml:space="preserve">Inferred from colluvial wedge. Minimum age from 3 peat radiocarbon dates overlying the wedge. Calibrated using SHCal04 (McCormac et al., 2004), 2 sigma uncertainties. </t>
  </si>
  <si>
    <t>Bracketed by radiocarbon dates of wood and twigs, calibrated using SHCal04 (McCormac et al., 2004), 2 sigma uncertainties.</t>
  </si>
  <si>
    <t xml:space="preserve">Minimum age from radiocarbon date at base of peat overlying colluvial wedge. Calibrated using SHCal04 (McCormac et al., 2004) , 2 sigma uncertainties. </t>
  </si>
  <si>
    <t>Beanland, S.; Berryman, K.R. 1991 Paleoseismicity studies of the Wellington Fault northeast of the Tararua Ranges. Newsletter / Geological Society of New Zealand, 93: 42-46</t>
  </si>
  <si>
    <t>Min from the age of the Devonshire fan and 15-20 events. Max from trench 04/2.</t>
  </si>
  <si>
    <t>Calculated from the LE from Trenches 1 and 3 and APE from trenches 1 and 2</t>
  </si>
  <si>
    <t>Te Ikaarongamai</t>
  </si>
  <si>
    <t>705 (485-850)</t>
  </si>
  <si>
    <t>Off-fault</t>
  </si>
  <si>
    <t>Wairarapa: 1</t>
  </si>
  <si>
    <t>Method not explicitly stated, but noted to be 5 events since 5.2 ka</t>
  </si>
  <si>
    <t>From 3-4 events in 14 ka</t>
  </si>
  <si>
    <t>Calculated from the inter-event times taking the midpoint and including the current open interval</t>
  </si>
  <si>
    <t>Method not explicitly stated, but from the inter-event times (Berryman et al., 2012)</t>
  </si>
  <si>
    <t>380 (322-438)</t>
  </si>
  <si>
    <t>From inter-event times from trenches and 2016 Kaikoura EQ. Pref is midpoint.</t>
  </si>
  <si>
    <t xml:space="preserve">From 4 events in 55 ka. Four events estimated from average SED of 1.5 (average of 2-3 measurements) and 6 m max vertical separation. </t>
  </si>
  <si>
    <t>From 2-3 events in last 4,000 years. Broadly consistent with calculations of SED/SR and 2 events in 2800 years.</t>
  </si>
  <si>
    <t>From 2 inter-event times and including 2 sigma uncertainties.</t>
  </si>
  <si>
    <t>Method not explicitly stated, but calculated using all six terraces (Wilson et al., 2006)</t>
  </si>
  <si>
    <t>2194 (2077-2311)</t>
  </si>
  <si>
    <t>&lt;7870 (5900-9833)</t>
  </si>
  <si>
    <r>
      <t xml:space="preserve">Max mean calculated from 4 events in 29.47 </t>
    </r>
    <r>
      <rPr>
        <sz val="10"/>
        <color theme="1"/>
        <rFont val="Calibri"/>
        <family val="2"/>
      </rPr>
      <t>±</t>
    </r>
    <r>
      <rPr>
        <sz val="8"/>
        <color theme="1"/>
        <rFont val="Calibri"/>
        <family val="2"/>
      </rPr>
      <t xml:space="preserve"> </t>
    </r>
    <r>
      <rPr>
        <sz val="10"/>
        <color theme="1"/>
        <rFont val="Calibri"/>
        <family val="2"/>
      </rPr>
      <t>0.38</t>
    </r>
    <r>
      <rPr>
        <sz val="10"/>
        <color theme="1"/>
        <rFont val="Calibri"/>
        <family val="2"/>
        <scheme val="minor"/>
      </rPr>
      <t xml:space="preserve"> ka (uncalibrated)</t>
    </r>
  </si>
  <si>
    <t xml:space="preserve">Calculated by taking the difference in age between the oldest (12-25 ka) and youngest 2.4 ka) events and dividing this by the number of interpreted events. </t>
  </si>
  <si>
    <t xml:space="preserve">Calculated by taking the difference in age between the oldest (25 ka) and youngest (1.7 ka)  events and dividing this by the number of interpreted events (4). </t>
  </si>
  <si>
    <t xml:space="preserve">Minimum estimate from a three event scenario, where there are two events since 25 ka and the oldest occurred ~25 ka. The upper estimate is this scenario for 4 events. </t>
  </si>
  <si>
    <t>Combined Wadsworth and Dillon trenches</t>
  </si>
  <si>
    <t xml:space="preserve">4 earthquakes between 5610 and 2300 </t>
  </si>
  <si>
    <t>Monte Carlo sampling of pdfs of event times and uncertainties from Rainbow Station trench and Spring Creek Beach Ridges over last 6 ka. Shorter than the RI over the last 18 ka, suggesting possible bimodal RI of 1000 yrs interspersed with &gt;2000 yrs.</t>
  </si>
  <si>
    <t>Core Kapiti 1B</t>
  </si>
  <si>
    <t>562-618 cal. yr BP</t>
  </si>
  <si>
    <t>Cochran et al. (2015)</t>
  </si>
  <si>
    <t>Core Kapiti 4A</t>
  </si>
  <si>
    <t>560-844 cal. yr BP</t>
  </si>
  <si>
    <t>564-620 cal. yr BP</t>
  </si>
  <si>
    <r>
      <t>Cochran, U.A.; Litchfield, N.J.; Clark, K.J.; Ries, W.F.; Villamor, P.; Howarth, J.D.; Watson, C.; Strong, D.T.</t>
    </r>
    <r>
      <rPr>
        <sz val="10"/>
        <color rgb="FF003300"/>
        <rFont val="Calibri"/>
        <family val="2"/>
        <scheme val="minor"/>
      </rPr>
      <t> 2015 Improved age control for a fourteenth century earthquake and tsunami from Okupe Lagoon, Kapiti Island. Lower Hutt, N.Z.: GNS Science. </t>
    </r>
    <r>
      <rPr>
        <i/>
        <sz val="10"/>
        <color rgb="FF003300"/>
        <rFont val="Calibri"/>
        <family val="2"/>
        <scheme val="minor"/>
      </rPr>
      <t>GNS Science report 2015/28.</t>
    </r>
    <r>
      <rPr>
        <sz val="10"/>
        <color rgb="FF003300"/>
        <rFont val="Calibri"/>
        <family val="2"/>
        <scheme val="minor"/>
      </rPr>
      <t> 37 p. + 4 appendices</t>
    </r>
  </si>
  <si>
    <t>Sudden subsidence event in lagoon core. Oxcal model of 6 wood, reeds and seeds samples, calibrated using SHCal13, 2 sigma uncertainties.</t>
  </si>
  <si>
    <t>Sudden subsidence event in lagoon core. Oxcal model of 7 wood, reeds and seeds samples, calibrated using SHCal13, 2 sigma uncertainties.</t>
  </si>
  <si>
    <t>Sudden subsidence event in two lagoon cores inferred to be the same event.  Oxcal model using all 14C ages from both cores Kapiti 1B and Kapiti 4A. Calibrated using SHCal13, 2 sigma uncertainties.</t>
  </si>
  <si>
    <t>Event (Horizon D-E)  inferred from sharp transition from organic silty sand to organic clayey silt. Radiocarbon age of wood near top of transition. Calibrated using INTCAL98 (Stuiver et al. 1998), 2 sigma uncertainties. Likely superseded by core Kapiti 1B and 4A.</t>
  </si>
  <si>
    <t>Combined Kapiti 1A and 4B cores</t>
  </si>
  <si>
    <t>Okupe Lagoon cores</t>
  </si>
  <si>
    <t>0.2-4</t>
  </si>
  <si>
    <t>Tephras, alluvium, and colluvial wedges</t>
  </si>
  <si>
    <t>One displacement in this range calculated from thickness of a colluvial wedge, the remaining three are calculated by restoring tephras and alluvial layers</t>
  </si>
  <si>
    <t>0.8-1</t>
  </si>
  <si>
    <t>Tephras and paleosols</t>
  </si>
  <si>
    <t>Range of SEDS calculated by back-stripping events and restoring stratigraphic layers</t>
  </si>
  <si>
    <t>Minimum estimate of SED at this site</t>
  </si>
  <si>
    <t>Gravels, channel deposits, and a debris flow</t>
  </si>
  <si>
    <t>Calculated by restoring offset layers. Two-sigma uncertainty of 0.3 m</t>
  </si>
  <si>
    <t>Offset of colluvium, drag folding, and fissure development</t>
  </si>
  <si>
    <t>Calculated by restoring offset layers, drag folds, and fissures</t>
  </si>
  <si>
    <t>0.12-0.71</t>
  </si>
  <si>
    <t>Tephras, paleosols, and alluvium</t>
  </si>
  <si>
    <t>Calculated by progressive restoration of offset units. Two-sigma uncertainty of 0.1-0.2 m</t>
  </si>
  <si>
    <t>3.25-3.75</t>
  </si>
  <si>
    <t xml:space="preserve">Calculated by assuming there were only two events responsible for the 7.5m of total vertical offser measured here. </t>
  </si>
  <si>
    <t>Terraces</t>
  </si>
  <si>
    <t>Measured from strandline altitudes minus releative sea level</t>
  </si>
  <si>
    <t>2 ± 0.5</t>
  </si>
  <si>
    <t>Devonshire Fan</t>
  </si>
  <si>
    <t>Fan surface, alluvium</t>
  </si>
  <si>
    <t>Calculated from fault scarps, a colluvial wedge deposit (T04/2), and stratigraphic offsets (T04/2)</t>
  </si>
  <si>
    <t>0.5-2</t>
  </si>
  <si>
    <t>SED estimate from two faults in T001/3</t>
  </si>
  <si>
    <t>Bedrock, alluvium, and soils</t>
  </si>
  <si>
    <t>&lt;1.5-3.5</t>
  </si>
  <si>
    <t>Offset bedrock and alluvium</t>
  </si>
  <si>
    <t>Calculated using the minimum and maximum vertical offsets from T01/1. Offsets are the result of at least 1 earthquake and these are max SEDs</t>
  </si>
  <si>
    <t xml:space="preserve">Waitangi </t>
  </si>
  <si>
    <t>T01/1, Pinetrees trench</t>
  </si>
  <si>
    <t>Offset alluvial fan</t>
  </si>
  <si>
    <t>2-5
0.3-0.5</t>
  </si>
  <si>
    <r>
      <t>Langridge, R.M.; Villamor, P.; Howarth, J.D.; Ries, W.F.; Clark, K.J.; Litchfield, N.J. 2021 Reconciling an early nineteenth-century rupture of the Alpine Fault at a section end, Toaroha River, Westland, New Zealand.</t>
    </r>
    <r>
      <rPr>
        <i/>
        <sz val="10"/>
        <rFont val="Calibri"/>
        <family val="2"/>
        <scheme val="minor"/>
      </rPr>
      <t> Bulletin of the Seismological Society of America, 111(1): </t>
    </r>
    <r>
      <rPr>
        <sz val="10"/>
        <rFont val="Calibri"/>
        <family val="2"/>
        <scheme val="minor"/>
      </rPr>
      <t>514-540; doi: 10.1785/0120200116</t>
    </r>
  </si>
  <si>
    <t xml:space="preserve">Akatarawa </t>
  </si>
  <si>
    <t>Akatarawa Terrace</t>
  </si>
  <si>
    <t>Estimated by RL displacement on trench and no. of events, only a range given.</t>
  </si>
  <si>
    <t xml:space="preserve">Alfredton </t>
  </si>
  <si>
    <t>345 ± 10</t>
  </si>
  <si>
    <t>Golf Course Trenches SED</t>
  </si>
  <si>
    <t>4.25-7</t>
  </si>
  <si>
    <t>Assume SED Net equals RL SED.</t>
  </si>
  <si>
    <t>Aotea Vertical Separation</t>
  </si>
  <si>
    <t>~2</t>
  </si>
  <si>
    <t>Sedimentary Horizons/Seafloor</t>
  </si>
  <si>
    <t>Vertical separation in seismic, post-seismic growth interval largely restricted. ~2 m vertical separation from LE and ~3.5 m from PE.</t>
  </si>
  <si>
    <t>Perrys Road Stream</t>
  </si>
  <si>
    <r>
      <rPr>
        <sz val="10"/>
        <color theme="1"/>
        <rFont val="Calibri"/>
        <family val="2"/>
      </rPr>
      <t xml:space="preserve">≤ </t>
    </r>
    <r>
      <rPr>
        <sz val="10"/>
        <color theme="1"/>
        <rFont val="Calibri"/>
        <family val="2"/>
        <scheme val="minor"/>
      </rPr>
      <t>5.7</t>
    </r>
  </si>
  <si>
    <t>≤5.7</t>
  </si>
  <si>
    <t>Assume SED Net equals RL SED</t>
  </si>
  <si>
    <t>Smallest observed dextral offset, max estimate as may have been produced in more than one event. No obvious vertical offset.</t>
  </si>
  <si>
    <t>-160 ± 10</t>
  </si>
  <si>
    <t>Lower Fan Surface</t>
  </si>
  <si>
    <t>c. 1.5</t>
  </si>
  <si>
    <t>Fan surface</t>
  </si>
  <si>
    <t>Had three SED values of c. 1.2, 1.7, 2.5 m. Took an average of two smallest values.</t>
  </si>
  <si>
    <t>Tangimoana Road (site 1c)</t>
  </si>
  <si>
    <t>Channel wall</t>
  </si>
  <si>
    <t>Channel wall of a small spring is offset. Thought to represent the SED of the most recent event on the eastern strand, as it is the smallest observed offset. 50 m NE of Verry Woolshed.</t>
  </si>
  <si>
    <t>Ohau River (site i)</t>
  </si>
  <si>
    <t>2.5-3.0
ca. 1.5</t>
  </si>
  <si>
    <t>Young terrace riser offset horizontally and vertically. South side of Ohau River, ESE from the end of Florida Road. Assumed to be SED from most recent event based on soil development and that the assumption that the fault has not ruptured in several hundred years.</t>
  </si>
  <si>
    <t>Kahao Stream (Loc. 004)</t>
  </si>
  <si>
    <t>2.9
0.95</t>
  </si>
  <si>
    <t>3.1 (2.5-3.6)</t>
  </si>
  <si>
    <t>Small scarp offsets channel in Trentham fan surface and may be result of single event. Similar horizontal measurements were taken at Loc. 017, 021, 022. Similar vertical measurements were said to have been taken at other locations (Loc. 001, 003, 007, 012). Is inferred to indicate the size of the LE. Reported as Kakaho Stream by Miyoshi et al. (1987).</t>
  </si>
  <si>
    <t xml:space="preserve">Miyoshi et al. (1987); Heron et al. (1998) </t>
  </si>
  <si>
    <t>Loc. 064</t>
  </si>
  <si>
    <t>≥3.8</t>
  </si>
  <si>
    <t>Assume RL is equal to Net SED</t>
  </si>
  <si>
    <t>Authors state that this offset may represent the size of the LE, only measured at a single locality. Said to be an offset ridge.</t>
  </si>
  <si>
    <t>R27A/020</t>
  </si>
  <si>
    <t>4
0.6</t>
  </si>
  <si>
    <t>4 (3.5-4.6)</t>
  </si>
  <si>
    <t>Site assumed to represent SED in LE. RL measurement method said to be pacing.</t>
  </si>
  <si>
    <t xml:space="preserve">Ota et al. (1981) </t>
  </si>
  <si>
    <t>R27A/028</t>
  </si>
  <si>
    <t>5
0.6</t>
  </si>
  <si>
    <t>5 (4.5-5.6)</t>
  </si>
  <si>
    <t>R27C/404</t>
  </si>
  <si>
    <t>Calculated net SED using CFM dip and  assuming uncertainties ±0.25 m V  and ±0.5 m H.</t>
  </si>
  <si>
    <t>Calculated net SED using CFM dip and  assuming uncertainties ±0.2 m V  and ±0.5 m H.</t>
  </si>
  <si>
    <t>Ohariu Stream</t>
  </si>
  <si>
    <r>
      <rPr>
        <sz val="10"/>
        <color theme="1"/>
        <rFont val="Calibri"/>
        <family val="2"/>
      </rPr>
      <t>≥</t>
    </r>
    <r>
      <rPr>
        <sz val="11"/>
        <color theme="1"/>
        <rFont val="Calibri"/>
        <family val="2"/>
      </rPr>
      <t>5</t>
    </r>
  </si>
  <si>
    <t>Assume Net SED is equal to or greater than RL SED.</t>
  </si>
  <si>
    <t xml:space="preserve">Small stream valleys cut in last glaciation loess show succession of 5, 10 and 17m SED. </t>
  </si>
  <si>
    <t>Williams (1975)</t>
  </si>
  <si>
    <t>Ota, Y.; Williams, D.N.; Berryman, K.R. 1981 Late Quaternary tectonic map of New Zealand, parts Sheets Q27, R27 &amp; R28, Wellington. Scale 1:50,000. Wellington: Department of Scientific and Industrial Research. Late Quaternary tectonic map of New Zealand 1:50,000. 1 map + 1 booklet</t>
  </si>
  <si>
    <t>Shepherds Gully</t>
  </si>
  <si>
    <t>Pukerua - Shepherds Gully: 1</t>
  </si>
  <si>
    <t>Q27D/609</t>
  </si>
  <si>
    <r>
      <t>≥</t>
    </r>
    <r>
      <rPr>
        <sz val="11"/>
        <color theme="1"/>
        <rFont val="Calibri"/>
        <family val="2"/>
      </rPr>
      <t>4</t>
    </r>
  </si>
  <si>
    <t>Assume Net SED is equal to or greater than H SED.</t>
  </si>
  <si>
    <t>Interpreted to represented SED from LE. This is on a secondary trace and is said to be a minimum (at least). Measured using pacing.</t>
  </si>
  <si>
    <t>Ota et al. (1981)</t>
  </si>
  <si>
    <t>Q27D/612</t>
  </si>
  <si>
    <t>Assume Net SED is equal to or greater than V SED.</t>
  </si>
  <si>
    <t>Q27D/602</t>
  </si>
  <si>
    <t>≥0.4</t>
  </si>
  <si>
    <t>Hendricksen 1</t>
  </si>
  <si>
    <t>Displaced sedimentary horizon</t>
  </si>
  <si>
    <t>Minimum thrust SED from LE using restorations of bedrock along faults slivers. Trench located at area with more northern trend, expect a greater than average thrust component. Estimate 3-6 m lateral, net 3-7 m slip per event using assumptions of lateral to vertical ratios.</t>
  </si>
  <si>
    <t>Hendricksen 2</t>
  </si>
  <si>
    <t>Terrace F LE</t>
  </si>
  <si>
    <t>1.30 ± 0.02</t>
  </si>
  <si>
    <t>Assume that Net SED is greater than or equal to Vert SED</t>
  </si>
  <si>
    <t>Riser EF</t>
  </si>
  <si>
    <t>11.4 ± 1.7</t>
  </si>
  <si>
    <t>Assume that Net SED is greater than or equal to RL SED</t>
  </si>
  <si>
    <t>CH2 LE</t>
  </si>
  <si>
    <t>12.4 ± 0.8</t>
  </si>
  <si>
    <t>Terrace F PE</t>
  </si>
  <si>
    <t>1.36 ± 0.06</t>
  </si>
  <si>
    <t>CH2 PE</t>
  </si>
  <si>
    <t>9.7 ± 1.7</t>
  </si>
  <si>
    <t>Pigeon Bush 1</t>
  </si>
  <si>
    <r>
      <t xml:space="preserve">18.7 ± 1.0
</t>
    </r>
    <r>
      <rPr>
        <sz val="10"/>
        <color theme="1"/>
        <rFont val="Calibri"/>
        <family val="2"/>
      </rPr>
      <t>≥</t>
    </r>
    <r>
      <rPr>
        <sz val="10"/>
        <color theme="1"/>
        <rFont val="Calibri"/>
        <family val="2"/>
        <scheme val="minor"/>
      </rPr>
      <t>1.25 ± 0.5</t>
    </r>
  </si>
  <si>
    <t>18.7 (17.7-19.8)</t>
  </si>
  <si>
    <t>Used CFM dip and SED measurements to calculate Net SED</t>
  </si>
  <si>
    <t>Beheaded channel axis</t>
  </si>
  <si>
    <t xml:space="preserve">Interpret that all of the offset of the channel took place in 1855, based on ages from dated charcoal and events from other studies at Tea Creek and Turakirae and the geomorphology of the channel. Offsets measured using fault-parallel topographic profiles across the stream channels
on both sides of the fault, and then graphically matching these features back together. Also double checked in field with tape measure. Vertical movement not stated as SED but in table assumed to represent. </t>
  </si>
  <si>
    <t>Pigeon Bush 2</t>
  </si>
  <si>
    <t>13.0 ± 1.5
≥ 2.0 ± 0.5</t>
  </si>
  <si>
    <t>13.2 (11.6-14.8)</t>
  </si>
  <si>
    <t>Channel axis
Terrace</t>
  </si>
  <si>
    <t>Not stated to be SED but aligns with Pigeon Bush 1. Dextral offset was restored using a microtopographic map. Vertical offset measurements involved measuring the elevation difference, where beheaded channels were inferred for minimum slip estimates. Assumed to be SED from 1855 Wairarapa Earthquake.</t>
  </si>
  <si>
    <t>Pigeon Bush 3</t>
  </si>
  <si>
    <t>15.1 ± 1.0
-1.8 ± 0.5</t>
  </si>
  <si>
    <t>15.2 (14.2-16.3)</t>
  </si>
  <si>
    <t>Not stated to be SED but dextral aligns with Pigeon Bush 1.Vertical also not stated to be SED but authors did state that this measurement is similar to uplift in 1855 at other sites, note this was a downthrow record. Assume measurement(s) were made using topographic map profiles as authors state channel edges were restored. Assumed to be SED from 1855 Wairarapa Earthquake.</t>
  </si>
  <si>
    <t>Site 419C</t>
  </si>
  <si>
    <t>17.5 ± 1.5</t>
  </si>
  <si>
    <r>
      <rPr>
        <sz val="10"/>
        <color theme="1"/>
        <rFont val="Calibri"/>
        <family val="2"/>
      </rPr>
      <t>≥</t>
    </r>
    <r>
      <rPr>
        <sz val="10"/>
        <color theme="1"/>
        <rFont val="Calibri"/>
        <family val="2"/>
        <scheme val="minor"/>
      </rPr>
      <t>17.5 ± 1.5</t>
    </r>
  </si>
  <si>
    <t>Channel edge</t>
  </si>
  <si>
    <t>Not stated to be SED but aligns with Pigeon Bush 1. Was said to be reliably measured with a tape measure, could not complete a microtopographic maps due to geography of gorge. Assumed to be SED from 1855 Wairarapa Earthquake.</t>
  </si>
  <si>
    <t>Hinaburn</t>
  </si>
  <si>
    <r>
      <rPr>
        <sz val="10"/>
        <color theme="1"/>
        <rFont val="Calibri"/>
        <family val="2"/>
      </rPr>
      <t>≥</t>
    </r>
    <r>
      <rPr>
        <sz val="10"/>
        <color theme="1"/>
        <rFont val="Calibri"/>
        <family val="2"/>
        <scheme val="minor"/>
      </rPr>
      <t>16.4 ± 2.0
2.5 ± 1.0</t>
    </r>
  </si>
  <si>
    <t>16.6 (14.5-18.8)</t>
  </si>
  <si>
    <t>Topographic crests/troughs</t>
  </si>
  <si>
    <t>Not stated to be SED but aligns with Pigeon Bush 1. Vertical not stated as SED but assume it is. Had two fault-parallel topographic profiles which were used to restore ridge spur crests. Note that dextral slip could be greater due to potential erosion of shutter ridge. Assumed to be SED from 1855 Wairarapa Earthquake.</t>
  </si>
  <si>
    <t>Rodgers and Little (2006)</t>
  </si>
  <si>
    <r>
      <t>Rodgers, D.W.; Little, T.A. 2006 World's largest coseismic strike-slip offset : the 1855 rupture of the Wairarapa Fault, New Zealand, and implications for displacement/length scaling of continental earthquakes.</t>
    </r>
    <r>
      <rPr>
        <i/>
        <sz val="10"/>
        <rFont val="Calibri"/>
        <family val="2"/>
        <scheme val="minor"/>
      </rPr>
      <t> Journal of Geophysical Research. Solid Earth, 111(B12): </t>
    </r>
    <r>
      <rPr>
        <sz val="10"/>
        <rFont val="Calibri"/>
        <family val="2"/>
        <scheme val="minor"/>
      </rPr>
      <t>doi: 10.1029/2005JB004065</t>
    </r>
  </si>
  <si>
    <t>Tauherenikau SE - NE Channel</t>
  </si>
  <si>
    <t>15.0 ± 2.0
3.5 ± 1.0</t>
  </si>
  <si>
    <t>15.5 (13.2-17.8)</t>
  </si>
  <si>
    <t>Only single strand of two-strand site. Constructed microtopgraphic map over whole area and restored channels. Interpreted to represent offset that occured in 1855 Wairarapa Earthquake.</t>
  </si>
  <si>
    <t>Tauherenikau SE - Cent. Channel</t>
  </si>
  <si>
    <t>15.7 ± 1.5
3.5 ± 1.0</t>
  </si>
  <si>
    <t>16.1 (14.4-18.0)</t>
  </si>
  <si>
    <t>Tauherenikau SE - SW Channel</t>
  </si>
  <si>
    <t>17.2 ± 2.0
4.3 ± 0.5</t>
  </si>
  <si>
    <t>17.8 (15.7-20.0)</t>
  </si>
  <si>
    <t>Tauherenikau NW - NE Channel</t>
  </si>
  <si>
    <t>8.4 ± 1.0
-0.5 ± 0.2</t>
  </si>
  <si>
    <t>8.4 (7.4-9.4)</t>
  </si>
  <si>
    <t>Only single strand of two-strand site. Interpreted to represent offset that occured in PE.</t>
  </si>
  <si>
    <t>Tauherenikau NW - Cent. Channel</t>
  </si>
  <si>
    <t>Only single strand of two-strand site. Constructed microtopgraphic map over whole area and restored channels. Interpreted to represent offset that occured in PE.</t>
  </si>
  <si>
    <t>Tauherenikau NW - SW Channel</t>
  </si>
  <si>
    <t>8.4 ± 1.0
-0.3 ± 0.2</t>
  </si>
  <si>
    <t>Site 423E</t>
  </si>
  <si>
    <t>13.5 ± 0.5</t>
  </si>
  <si>
    <t>Not stated to be SED but aligns with Pigeon Bush 1. Two strand site, one strand may have experienced a partial rupture in 1855 Wairarapa Earthquake. Measured offset of stream using piercing points with a tape measure as dense vegetation prevented GPS-based surverying. Assume that this is only taking into account one strand?</t>
  </si>
  <si>
    <t>Lake Meadows</t>
  </si>
  <si>
    <t>~17</t>
  </si>
  <si>
    <t>≥17</t>
  </si>
  <si>
    <t>Was excluded from table and mean fault offset due to subjectivity. But took a measurement across both strands of the fault. Two strand site, offset takes into account offset on both (~7m on SE strand by dipslaced stream cross profile and smallest offset of ~10m on NW strand).</t>
  </si>
  <si>
    <t>Cross Creek SE strand</t>
  </si>
  <si>
    <t>12.9 ± 2.0
≥ 1.3 ± 0.5</t>
  </si>
  <si>
    <t>13.0 (10.9-15.0)</t>
  </si>
  <si>
    <t>Not stated to be SED but aligns with Pigeon Bush 1. Same with vert SED, which is stated as a minimum estimate. Two strand site,  offset of NW strand was not measured due to thick vegetation. SE offset measured using microtopographic map restorations of channel edges.</t>
  </si>
  <si>
    <t>Tea Creek Channel a-a'</t>
  </si>
  <si>
    <t xml:space="preserve"> 
15 ± 3 </t>
  </si>
  <si>
    <t>≥15 (12-18)</t>
  </si>
  <si>
    <t>Figure 2 of the paper shows an offset measurement of a channel. Not discussed in text, but was included in the site DB.</t>
  </si>
  <si>
    <t>Mangatarere Stream</t>
  </si>
  <si>
    <r>
      <t>≥</t>
    </r>
    <r>
      <rPr>
        <sz val="8.5"/>
        <color theme="1"/>
        <rFont val="Calibri"/>
        <family val="2"/>
      </rPr>
      <t>12.5</t>
    </r>
  </si>
  <si>
    <t xml:space="preserve">Method of measurement not discussed, suspect it would be tape measure. State that two streams had the same offset measurements, displaced by 12 or 22 m, presumably the LE and PE. Locations 5 and 6 from map M. </t>
  </si>
  <si>
    <t>Kopuaranga Channel 2</t>
  </si>
  <si>
    <t>~9.6</t>
  </si>
  <si>
    <t>≥9.6</t>
  </si>
  <si>
    <t>Channel 2 offset, discuss that it could be offset from two events or that from 1855.</t>
  </si>
  <si>
    <t>Grapes and Wellman (1988)</t>
  </si>
  <si>
    <t>Van Dissen and Berryman (1996); Grapes and Wellman (1988)</t>
  </si>
  <si>
    <t>Te Marua T2 Width</t>
  </si>
  <si>
    <t>5.1 ± 1.2</t>
  </si>
  <si>
    <t>Assume that slip occurred in a single event. Difference in width of a terrace (northern width minus southern width) along fault, uncertainty is RMS of width of two projection triangles.</t>
  </si>
  <si>
    <t>Te Marua Channel 1 on T2</t>
  </si>
  <si>
    <t>5.4 ± 1.7</t>
  </si>
  <si>
    <t>Assume that slip occurred in a single event. Used RTK GPS Survey (0.5 survey point spacing, 0.1 contour) to measure midpoint projections of feature using a series of stated assumptions.</t>
  </si>
  <si>
    <t>Te Marua Channel 2 on T2</t>
  </si>
  <si>
    <t>5.4 ± 1.8</t>
  </si>
  <si>
    <t>Te Marua Channel Interfluve</t>
  </si>
  <si>
    <t>4.3 ± 1.5</t>
  </si>
  <si>
    <t>Te Marua T2-T3 Riser</t>
  </si>
  <si>
    <t>Assume that slip occurred in a single event. Used RTK GPS Survey (0.5 survey point spacing, 0.1 contour) to measure midpoint projections on terraces using a series of stated assumptions.</t>
  </si>
  <si>
    <t>80  ± 10</t>
  </si>
  <si>
    <t>Naenae (160)</t>
  </si>
  <si>
    <t>5 ± 1 
1.5 ± 0.5</t>
  </si>
  <si>
    <t>5.2 (4.1-6.3)</t>
  </si>
  <si>
    <t>Calculated using CFM dip and SED measurements</t>
  </si>
  <si>
    <t>NW side up, Uphill facing scarp. B95. Couldn't locate/replicate channel offset</t>
  </si>
  <si>
    <t>Langridge et al. (2005); Beanland (1995)</t>
  </si>
  <si>
    <t>Atea (155)</t>
  </si>
  <si>
    <t>Assume Net SED is greater than or equal to RL SED</t>
  </si>
  <si>
    <t>Trace. NW up, Offset streams at south edge of fan. B95</t>
  </si>
  <si>
    <t>Langridge et al. (2005);  Beanland (1995)</t>
  </si>
  <si>
    <t xml:space="preserve">Whitemans Valley </t>
  </si>
  <si>
    <t>1.4-2.1</t>
  </si>
  <si>
    <t>2.0 (1.5-2.7)</t>
  </si>
  <si>
    <t xml:space="preserve">Measured in trench along fault planes exposed in trench. </t>
  </si>
  <si>
    <r>
      <t>Quigley, M.; Van Dissen, R.J.; Litchfield, N.J.; Villamor, P.; Duffy, B.; Barrell, D.J.A.; Furlong, K.; Stahl, T.; Bilderback, E.; Noble, D.</t>
    </r>
    <r>
      <rPr>
        <sz val="10"/>
        <color rgb="FF000000"/>
        <rFont val="Calibri"/>
        <family val="2"/>
        <scheme val="minor"/>
      </rPr>
      <t> 2012 Surface rupture during the 2010 M</t>
    </r>
    <r>
      <rPr>
        <vertAlign val="subscript"/>
        <sz val="10"/>
        <color rgb="FF000000"/>
        <rFont val="Calibri"/>
        <family val="2"/>
        <scheme val="minor"/>
      </rPr>
      <t>w</t>
    </r>
    <r>
      <rPr>
        <sz val="10"/>
        <color rgb="FF000000"/>
        <rFont val="Calibri"/>
        <family val="2"/>
        <scheme val="minor"/>
      </rPr>
      <t> 7.1 Darfield (Canterbury) earthquake : implications for fault rupture dynamics and seismic-hazard analysis.</t>
    </r>
    <r>
      <rPr>
        <i/>
        <sz val="10"/>
        <color rgb="FF000000"/>
        <rFont val="Calibri"/>
        <family val="2"/>
        <scheme val="minor"/>
      </rPr>
      <t> Geology, 40(1): </t>
    </r>
    <r>
      <rPr>
        <sz val="10"/>
        <color rgb="FF000000"/>
        <rFont val="Calibri"/>
        <family val="2"/>
        <scheme val="minor"/>
      </rPr>
      <t>55-58; doi: 10.1130/G32528.1</t>
    </r>
  </si>
  <si>
    <t>Quigley et al. (2012)</t>
  </si>
  <si>
    <t>&gt;0.75 ± 0.3</t>
  </si>
  <si>
    <t>&gt;0.85  ± 0.3</t>
  </si>
  <si>
    <t>&gt;0.3 ± 0.3</t>
  </si>
  <si>
    <t>&gt;0.6 ± 0.5</t>
  </si>
  <si>
    <t>&gt;0.9 ± 0.5</t>
  </si>
  <si>
    <t>Hedge</t>
  </si>
  <si>
    <t>&gt;3.3 ± 0.3</t>
  </si>
  <si>
    <t>Fence line</t>
  </si>
  <si>
    <t>&gt;4.2 ± 0.4</t>
  </si>
  <si>
    <t>Crop row</t>
  </si>
  <si>
    <t>Wire fence</t>
  </si>
  <si>
    <t>1.3 ± 0.3</t>
  </si>
  <si>
    <t>1.5 ± 0.3</t>
  </si>
  <si>
    <t>1.1 ± 0.3</t>
  </si>
  <si>
    <t>&gt;0.8 ± 0.5</t>
  </si>
  <si>
    <t>1.6 ± 0.4</t>
  </si>
  <si>
    <t>Preferred</t>
  </si>
  <si>
    <t>1.2 ± 0.3</t>
  </si>
  <si>
    <t>Deer fence</t>
  </si>
  <si>
    <t>0.2 ± 0.2</t>
  </si>
  <si>
    <t>Paddock</t>
  </si>
  <si>
    <t>Drain</t>
  </si>
  <si>
    <t>10p</t>
  </si>
  <si>
    <t>0.9 ± 0.25</t>
  </si>
  <si>
    <t>10rtk1</t>
  </si>
  <si>
    <t>10rtk2</t>
  </si>
  <si>
    <t>&lt;2.6</t>
  </si>
  <si>
    <t>10tc</t>
  </si>
  <si>
    <t>0.95 ± 0.2</t>
  </si>
  <si>
    <t>1p</t>
  </si>
  <si>
    <t>1rtk</t>
  </si>
  <si>
    <t>1tc</t>
  </si>
  <si>
    <t>20a</t>
  </si>
  <si>
    <t>3.2 ± 0.5</t>
  </si>
  <si>
    <t>20b</t>
  </si>
  <si>
    <t>3.7 ± 0.4</t>
  </si>
  <si>
    <t>Road edge</t>
  </si>
  <si>
    <t>20c</t>
  </si>
  <si>
    <t>20d</t>
  </si>
  <si>
    <t>20p</t>
  </si>
  <si>
    <t>20tc</t>
  </si>
  <si>
    <t>2.3 ± 0.2</t>
  </si>
  <si>
    <t>23p</t>
  </si>
  <si>
    <t>2.85 ± 0.3</t>
  </si>
  <si>
    <t>23rtk</t>
  </si>
  <si>
    <t>23tc</t>
  </si>
  <si>
    <t>24a</t>
  </si>
  <si>
    <t>24b</t>
  </si>
  <si>
    <t>2.6 ± 0.5</t>
  </si>
  <si>
    <t>24p</t>
  </si>
  <si>
    <t>26a</t>
  </si>
  <si>
    <t>&gt;4.9 ± 1</t>
  </si>
  <si>
    <t>26b</t>
  </si>
  <si>
    <t>&gt;4.1 ± 0.3</t>
  </si>
  <si>
    <t>26c</t>
  </si>
  <si>
    <t>3.8 ± 0.5</t>
  </si>
  <si>
    <t>26d</t>
  </si>
  <si>
    <t>&gt;3.5 ± 0.75</t>
  </si>
  <si>
    <t>26e</t>
  </si>
  <si>
    <t>&gt;3.3 ± 0.75</t>
  </si>
  <si>
    <t>26f</t>
  </si>
  <si>
    <t>4.9 ± 0.75</t>
  </si>
  <si>
    <t>26p</t>
  </si>
  <si>
    <t>26tc</t>
  </si>
  <si>
    <t>4.3 ± 0.2</t>
  </si>
  <si>
    <t>30a</t>
  </si>
  <si>
    <t>4.35 ± 0.25</t>
  </si>
  <si>
    <t>30b</t>
  </si>
  <si>
    <t>30c</t>
  </si>
  <si>
    <t>4.3 ± 0.25</t>
  </si>
  <si>
    <t>30p</t>
  </si>
  <si>
    <t>30tc</t>
  </si>
  <si>
    <t>4.2 ± 0.2</t>
  </si>
  <si>
    <t>31a</t>
  </si>
  <si>
    <t>&lt;4.5 ± 0.5</t>
  </si>
  <si>
    <t>Farm race</t>
  </si>
  <si>
    <t>31b</t>
  </si>
  <si>
    <t>4.2 ± 0.25</t>
  </si>
  <si>
    <t>31p</t>
  </si>
  <si>
    <t>36a</t>
  </si>
  <si>
    <t>4.85 ± 0.4</t>
  </si>
  <si>
    <t>36b</t>
  </si>
  <si>
    <t>4.9 ± 0.25</t>
  </si>
  <si>
    <t>36p</t>
  </si>
  <si>
    <t>36tc</t>
  </si>
  <si>
    <t>48a</t>
  </si>
  <si>
    <t>4.4 ± 1.3</t>
  </si>
  <si>
    <t>Road (post repair)</t>
  </si>
  <si>
    <t>48b</t>
  </si>
  <si>
    <t>4.8 ± 0.9</t>
  </si>
  <si>
    <t>Road (pre-repair)</t>
  </si>
  <si>
    <t>48c</t>
  </si>
  <si>
    <t>48d</t>
  </si>
  <si>
    <t>5.1 ± 0.5</t>
  </si>
  <si>
    <t>48p</t>
  </si>
  <si>
    <t>48tc</t>
  </si>
  <si>
    <t>&gt;4.15 ± 0.3</t>
  </si>
  <si>
    <t>50a</t>
  </si>
  <si>
    <t>50b</t>
  </si>
  <si>
    <t>&gt;3.6 ± 0.2</t>
  </si>
  <si>
    <t>50p</t>
  </si>
  <si>
    <t>50tc</t>
  </si>
  <si>
    <t>51a</t>
  </si>
  <si>
    <t>&gt;3.9 ± 0.5</t>
  </si>
  <si>
    <t>51b</t>
  </si>
  <si>
    <t>&gt;1.1 ± 0.3</t>
  </si>
  <si>
    <t>51p</t>
  </si>
  <si>
    <t>52p</t>
  </si>
  <si>
    <t>4.95 ± 0.2</t>
  </si>
  <si>
    <t>52rtk</t>
  </si>
  <si>
    <t>52tc</t>
  </si>
  <si>
    <t>4.1 ± 0.3</t>
  </si>
  <si>
    <t>55ld</t>
  </si>
  <si>
    <t>4.8 ± 0.6</t>
  </si>
  <si>
    <t>55p</t>
  </si>
  <si>
    <t>55tc</t>
  </si>
  <si>
    <t>59p</t>
  </si>
  <si>
    <t>3.9 ± 0.3</t>
  </si>
  <si>
    <t>59rtk</t>
  </si>
  <si>
    <t>59tc</t>
  </si>
  <si>
    <t>60p</t>
  </si>
  <si>
    <t>60rtk</t>
  </si>
  <si>
    <t>&gt;4.1 ± 0.5</t>
  </si>
  <si>
    <t>Fence / hedge</t>
  </si>
  <si>
    <t>60tc</t>
  </si>
  <si>
    <t>&gt;4.1 ± 0.1</t>
  </si>
  <si>
    <t>63a</t>
  </si>
  <si>
    <t>4.5 ± 0.25</t>
  </si>
  <si>
    <t>63b</t>
  </si>
  <si>
    <t>4.5 ± 0.2</t>
  </si>
  <si>
    <t>63p</t>
  </si>
  <si>
    <t>65a</t>
  </si>
  <si>
    <t>&gt;2.5 ± 0.3</t>
  </si>
  <si>
    <t>65b</t>
  </si>
  <si>
    <t>&gt;2.8 ± 0.4</t>
  </si>
  <si>
    <t>65p</t>
  </si>
  <si>
    <t>69a</t>
  </si>
  <si>
    <t>69b</t>
  </si>
  <si>
    <t>3.7 ± 0.45</t>
  </si>
  <si>
    <t>69p</t>
  </si>
  <si>
    <t>70a</t>
  </si>
  <si>
    <t>&gt;3.2 ± 0.4</t>
  </si>
  <si>
    <t>70b</t>
  </si>
  <si>
    <t>&gt;0.7 ± 0.4</t>
  </si>
  <si>
    <t>70p</t>
  </si>
  <si>
    <t>71a</t>
  </si>
  <si>
    <t>&gt;1.9</t>
  </si>
  <si>
    <t>Crop row / track</t>
  </si>
  <si>
    <t>71b</t>
  </si>
  <si>
    <t>71c</t>
  </si>
  <si>
    <t>&gt;3.8 ± 0.4</t>
  </si>
  <si>
    <t>71p</t>
  </si>
  <si>
    <t>71tc</t>
  </si>
  <si>
    <t>3.1 ± 0.3</t>
  </si>
  <si>
    <t>76a</t>
  </si>
  <si>
    <t>&gt;1.9 ± 0.3</t>
  </si>
  <si>
    <t>76b</t>
  </si>
  <si>
    <t>2 ± 0.25</t>
  </si>
  <si>
    <t>76p</t>
  </si>
  <si>
    <t>77a</t>
  </si>
  <si>
    <t>1.1 ± 0.25</t>
  </si>
  <si>
    <t>77b</t>
  </si>
  <si>
    <t>1.2 ± 0.25</t>
  </si>
  <si>
    <t>Road centre line</t>
  </si>
  <si>
    <t>77c</t>
  </si>
  <si>
    <t>Power poles</t>
  </si>
  <si>
    <t>77p</t>
  </si>
  <si>
    <t>77tc</t>
  </si>
  <si>
    <t>0.8 ± 0.3</t>
  </si>
  <si>
    <t>7a</t>
  </si>
  <si>
    <t>1.1 ± 0.2</t>
  </si>
  <si>
    <t>7b</t>
  </si>
  <si>
    <t>1.7 ± 0.5</t>
  </si>
  <si>
    <t>7c</t>
  </si>
  <si>
    <t>&gt;0.75 ± 0.25</t>
  </si>
  <si>
    <t>7p</t>
  </si>
  <si>
    <t>80p</t>
  </si>
  <si>
    <t>80rtk</t>
  </si>
  <si>
    <t>0.7 ± 0.4</t>
  </si>
  <si>
    <t>80tc</t>
  </si>
  <si>
    <t>0.45 ± 0.3</t>
  </si>
  <si>
    <t>81a</t>
  </si>
  <si>
    <t>&lt;1.5 ± 0.3</t>
  </si>
  <si>
    <t>81b</t>
  </si>
  <si>
    <t>&gt;0.9 ± 0.2</t>
  </si>
  <si>
    <t>81p</t>
  </si>
  <si>
    <t>88a</t>
  </si>
  <si>
    <t>88b</t>
  </si>
  <si>
    <t>88p</t>
  </si>
  <si>
    <t>88tc</t>
  </si>
  <si>
    <t>92a</t>
  </si>
  <si>
    <t>92b</t>
  </si>
  <si>
    <t>92tc</t>
  </si>
  <si>
    <t>93a</t>
  </si>
  <si>
    <t>93b</t>
  </si>
  <si>
    <t>93p</t>
  </si>
  <si>
    <t>93tc</t>
  </si>
  <si>
    <t>Road</t>
  </si>
  <si>
    <t>Fence and power poles</t>
  </si>
  <si>
    <t>Roadside</t>
  </si>
  <si>
    <t>Wire and wood fence</t>
  </si>
  <si>
    <t>Concrete curb</t>
  </si>
  <si>
    <t>Hedge / fence</t>
  </si>
  <si>
    <t>Tyre track</t>
  </si>
  <si>
    <t>85 (75-90)</t>
  </si>
  <si>
    <t>&lt;1.65 ± 0.1</t>
  </si>
  <si>
    <t>&lt;1.55 ± 0.1</t>
  </si>
  <si>
    <t>&lt;0.85 ± 0.1</t>
  </si>
  <si>
    <t>&gt;0.15 ± 0.1</t>
  </si>
  <si>
    <t>1.45 ± 0.2</t>
  </si>
  <si>
    <t>1.15 ± 0.3</t>
  </si>
  <si>
    <t>0.6 ± 0.3</t>
  </si>
  <si>
    <t>0.55 ± 0.4</t>
  </si>
  <si>
    <t>0.35 ± 0.2</t>
  </si>
  <si>
    <t>0.15 ± 0.15</t>
  </si>
  <si>
    <t>0.6 ± 0.2</t>
  </si>
  <si>
    <t>0.3 ± 0.3</t>
  </si>
  <si>
    <t>0.65 ± 0.25</t>
  </si>
  <si>
    <t>0.5 ± 0.3</t>
  </si>
  <si>
    <t>0.5 ± 0.4</t>
  </si>
  <si>
    <t>0.2 ± 0.3</t>
  </si>
  <si>
    <t>&lt;0.75 ± 0.1</t>
  </si>
  <si>
    <t>0.4 ± 0.3</t>
  </si>
  <si>
    <t>Calculated from the area under the curve for a suite of curves.</t>
  </si>
  <si>
    <t>Alluvial plains surface</t>
  </si>
  <si>
    <t>Fellows, D.L.; Scott, B.J. 1989 Monitoring degradation of the Edgecumbe Fault scarp, Rangitaiki Plains, New Zealand. New Zealand Journal of Geology and Geophysics, 32(1): 181-184</t>
  </si>
  <si>
    <t>Stopbank</t>
  </si>
  <si>
    <t>2.4 ± 0.1</t>
  </si>
  <si>
    <t>Trasmission lines, pipeline</t>
  </si>
  <si>
    <t>1.7 ± 0.1</t>
  </si>
  <si>
    <t>1.65 ± 0.1</t>
  </si>
  <si>
    <t>Lane</t>
  </si>
  <si>
    <t>Punga fence</t>
  </si>
  <si>
    <t>1.55 ± 0.1</t>
  </si>
  <si>
    <t>Driveway, curbing</t>
  </si>
  <si>
    <t>Silage pit concrete floor</t>
  </si>
  <si>
    <t>Railway line, stopbank</t>
  </si>
  <si>
    <t>Beanland et al. (1989), Fellows and Scott (1989)</t>
  </si>
  <si>
    <t>Railway</t>
  </si>
  <si>
    <t>0.7 ± 0.1</t>
  </si>
  <si>
    <t>Tennis court</t>
  </si>
  <si>
    <t>1.0 ± 0.1</t>
  </si>
  <si>
    <t>0.6 ± 0.1</t>
  </si>
  <si>
    <t>Deer farm warp</t>
  </si>
  <si>
    <t>Driveway</t>
  </si>
  <si>
    <t>0.25 ± 0.1</t>
  </si>
  <si>
    <t>Track</t>
  </si>
  <si>
    <t>0.9 ± 0.1</t>
  </si>
  <si>
    <t>0.5 ± 0.1</t>
  </si>
  <si>
    <t>Drain, fence</t>
  </si>
  <si>
    <t>Onepu</t>
  </si>
  <si>
    <t>Orchard</t>
  </si>
  <si>
    <t>0.26 ± 0.1</t>
  </si>
  <si>
    <t>Field</t>
  </si>
  <si>
    <t>Bark scarp</t>
  </si>
  <si>
    <t>Bark, dressage area</t>
  </si>
  <si>
    <t>Car shed</t>
  </si>
  <si>
    <t>Otakiri</t>
  </si>
  <si>
    <t>0.8 ± 0.1</t>
  </si>
  <si>
    <t>0.01 ± 0.1</t>
  </si>
  <si>
    <t>0.05 ± 0.1</t>
  </si>
  <si>
    <t>Roadcut exposure</t>
  </si>
  <si>
    <t>0 ± 0.1</t>
  </si>
  <si>
    <t>0.04 ± 0.1</t>
  </si>
  <si>
    <t>0.05 ±0.1</t>
  </si>
  <si>
    <t>1.3 ± 0.05</t>
  </si>
  <si>
    <t>1.9 ± 0.05</t>
  </si>
  <si>
    <t>0.9 ± 0.05</t>
  </si>
  <si>
    <t>0.4 ± 0.05</t>
  </si>
  <si>
    <t>1987 Edgecumbe Earthquake rupture. Measured using an abney level and tape measure.</t>
  </si>
  <si>
    <t>1987 Edgecumbe Earthquake rupture. Measured from a profile (17) surveyed using a level and staff.</t>
  </si>
  <si>
    <t>1987 Edgecumbe Earthquake rupture.Measured using an abney level and tape measure.</t>
  </si>
  <si>
    <t>1987 Edgecumbe Earthquake rupture. Measured from a profile (10) surveyed using a level and staff.</t>
  </si>
  <si>
    <t>1987 Edgecumbe Earthquake rupture. Measured from a profile (7) surveyed using a level and staff.</t>
  </si>
  <si>
    <t>1987 Edgecumbe Earthquake rupture.  Measured from a profile (4) surveyed using a level and staff.</t>
  </si>
  <si>
    <t>1987 Edgecumbe Earthquake rupture.  Measured using an abney level and tape measure.</t>
  </si>
  <si>
    <t>1987 Edgecumbe Earthquake rupture. Measured from a profile (1) surveyed using a level and staff.</t>
  </si>
  <si>
    <t>1987 Edgecumbe Earthquake rupture. Measured from a profile (16) surveyed using a level and staff.</t>
  </si>
  <si>
    <t>Inangahua Railway Line</t>
  </si>
  <si>
    <t>0.4
0.33</t>
  </si>
  <si>
    <t>V
LL</t>
  </si>
  <si>
    <t>Calculated using CFM dip and inferred uncertainties of ±0.25 m.</t>
  </si>
  <si>
    <t>Calculated using CFM dip and inferred uncertainties of ±0.2 m.</t>
  </si>
  <si>
    <t>0.6 (0.2-0.9)</t>
  </si>
  <si>
    <r>
      <t>Lensen, G.J.; Suggate, R.P.</t>
    </r>
    <r>
      <rPr>
        <sz val="10"/>
        <color rgb="FF003300"/>
        <rFont val="Calibri"/>
        <family val="2"/>
        <scheme val="minor"/>
      </rPr>
      <t> 1968 2. Inangahua earthquake - preliminary account of the geology. P. 17-36 IN: Adams, R.D.; Eiby, G.A.; Lowry, M.A.; Lensen, G.J.; Suggate, R.P.; Stephenson, W.R. </t>
    </r>
    <r>
      <rPr>
        <i/>
        <sz val="10"/>
        <color rgb="FF003300"/>
        <rFont val="Calibri"/>
        <family val="2"/>
        <scheme val="minor"/>
      </rPr>
      <t>Preliminary reports on the Inangahua earthquake, New Zealand, May 1968.</t>
    </r>
    <r>
      <rPr>
        <sz val="10"/>
        <color rgb="FF003300"/>
        <rFont val="Calibri"/>
        <family val="2"/>
        <scheme val="minor"/>
      </rPr>
      <t> Wellington: DSIR. </t>
    </r>
    <r>
      <rPr>
        <i/>
        <sz val="10"/>
        <color rgb="FF003300"/>
        <rFont val="Calibri"/>
        <family val="2"/>
        <scheme val="minor"/>
      </rPr>
      <t>DSIR Bulletin 193.</t>
    </r>
  </si>
  <si>
    <t>Rotokohu trace</t>
  </si>
  <si>
    <t>Rotohohu</t>
  </si>
  <si>
    <t>Maimai: North</t>
  </si>
  <si>
    <t>1
2</t>
  </si>
  <si>
    <t>Lyell</t>
  </si>
  <si>
    <t>Rough Creek road cutting</t>
  </si>
  <si>
    <t>&lt;1.2</t>
  </si>
  <si>
    <r>
      <t>Nathan, S.</t>
    </r>
    <r>
      <rPr>
        <sz val="10"/>
        <color rgb="FF003300"/>
        <rFont val="Calibri"/>
        <family val="2"/>
        <scheme val="minor"/>
      </rPr>
      <t> 1978 Geological map of New Zealand 1:63,360 Sheet S31 &amp; pt. S32 Buller-Lyell. 1st ed. Wellington: Department of Scientific and Industrial Research. </t>
    </r>
    <r>
      <rPr>
        <i/>
        <sz val="10"/>
        <color rgb="FF003300"/>
        <rFont val="Calibri"/>
        <family val="2"/>
        <scheme val="minor"/>
      </rPr>
      <t>Geological map of New Zealand 1:63,360 S31/pt S32.</t>
    </r>
    <r>
      <rPr>
        <sz val="10"/>
        <color rgb="FF003300"/>
        <rFont val="Calibri"/>
        <family val="2"/>
        <scheme val="minor"/>
      </rPr>
      <t> 1 fold. map + 1 booklet</t>
    </r>
  </si>
  <si>
    <r>
      <t>Anderson, H.; Beanland, S.; Blick, G.; Darby, D.J.; Downes, G.L.; Haines, A.J.; Jackson, J.; Robinson, R.; Webb, T.H.</t>
    </r>
    <r>
      <rPr>
        <sz val="10"/>
        <color rgb="FF003300"/>
        <rFont val="Calibri"/>
        <family val="2"/>
        <scheme val="minor"/>
      </rPr>
      <t> 1994 The 1968 May 23 Inangahua, New Zealand, earthquake : an integrated geological, geodetic, and seismological source model.</t>
    </r>
    <r>
      <rPr>
        <i/>
        <sz val="10"/>
        <color rgb="FF003300"/>
        <rFont val="Calibri"/>
        <family val="2"/>
        <scheme val="minor"/>
      </rPr>
      <t> New Zealand Journal of Geology and Geophysics, 37(1): </t>
    </r>
    <r>
      <rPr>
        <sz val="10"/>
        <color rgb="FF003300"/>
        <rFont val="Calibri"/>
        <family val="2"/>
        <scheme val="minor"/>
      </rPr>
      <t>59-86; doi: 10.1080/00288306.1994.9514601</t>
    </r>
  </si>
  <si>
    <t>Lensen and Otway (1971), Nathan (1978), Anderson et al. (1994)</t>
  </si>
  <si>
    <t>Lensen and Suggate (1968), Lensen and Otway (1971), Anderson et al. (1994)</t>
  </si>
  <si>
    <t>Upper Buller Gorge Road</t>
  </si>
  <si>
    <t>Henderson, J. 1937 The West Nelson earthquakes of 1929. New Zealand journal of science and technology, 19(2): 65-144</t>
  </si>
  <si>
    <t>Henderson (1937), Berryman (1980)</t>
  </si>
  <si>
    <t>Buller River terrace fence</t>
  </si>
  <si>
    <t>1929 Buller (Murchison) Earthquake rupture. Measured by Berryman using a stadia survey in ~1979 and consistent with value reported by Henderson. Notes maximum LL of 2.5 m 5 m from scarp.</t>
  </si>
  <si>
    <t>Water race</t>
  </si>
  <si>
    <t>≥4 (3-5)</t>
  </si>
  <si>
    <t>1929 Buller (Murchison) Earthquake rupture. Horizontal couldn't be determined. Measurement method not stated. No uncertainties.</t>
  </si>
  <si>
    <t>1929 Buller (Murchison) Earthquake rupture. Measured by Berryman using a stadia survey in ~1979 and noted to be less reliable than road or terrace surfaces.</t>
  </si>
  <si>
    <t>Berryman (1980)</t>
  </si>
  <si>
    <t>1929 Buller (Murchison) Earthquake rupture. Measured by Berryman using a stadia survey in ~1979. Horizontal couldn't be measured as assumed risers eroded.</t>
  </si>
  <si>
    <t>Tread A</t>
  </si>
  <si>
    <t>&gt;4.8</t>
  </si>
  <si>
    <t>3.9 (3.2-4.8)</t>
  </si>
  <si>
    <t>4.3 (3.6-5.1)</t>
  </si>
  <si>
    <t>&gt;3.7 (3.1-4.5)</t>
  </si>
  <si>
    <t>Calculated using CFM dip. Min because LL not measured.</t>
  </si>
  <si>
    <r>
      <t>Williams, J.N.; Barrell, D.J.A.; Stirling, M.W.; Sauer, K.M.; Duke, G.C.; Hao, K.X.</t>
    </r>
    <r>
      <rPr>
        <sz val="10"/>
        <color rgb="FF000000"/>
        <rFont val="Calibri"/>
        <family val="2"/>
        <scheme val="minor"/>
      </rPr>
      <t> 2018 Surface rupture of the Hundalee fault during the 2016 </t>
    </r>
    <r>
      <rPr>
        <i/>
        <sz val="10"/>
        <color rgb="FF000000"/>
        <rFont val="Calibri"/>
        <family val="2"/>
        <scheme val="minor"/>
      </rPr>
      <t>M</t>
    </r>
    <r>
      <rPr>
        <i/>
        <vertAlign val="subscript"/>
        <sz val="10"/>
        <color rgb="FF000000"/>
        <rFont val="Calibri"/>
        <family val="2"/>
        <scheme val="minor"/>
      </rPr>
      <t>w</t>
    </r>
    <r>
      <rPr>
        <sz val="10"/>
        <color rgb="FF000000"/>
        <rFont val="Calibri"/>
        <family val="2"/>
        <scheme val="minor"/>
      </rPr>
      <t> 7.8 Kaikoura earthquake.</t>
    </r>
    <r>
      <rPr>
        <i/>
        <sz val="10"/>
        <color rgb="FF000000"/>
        <rFont val="Calibri"/>
        <family val="2"/>
        <scheme val="minor"/>
      </rPr>
      <t> Bulletin of the Seismological Society of America, 108(3B): </t>
    </r>
    <r>
      <rPr>
        <sz val="10"/>
        <color rgb="FF000000"/>
        <rFont val="Calibri"/>
        <family val="2"/>
        <scheme val="minor"/>
      </rPr>
      <t>1540-1555; doi: 10.1785/0120170291</t>
    </r>
  </si>
  <si>
    <t>SH1 Hundalee</t>
  </si>
  <si>
    <t>1.0 ± 0.2
1.7 ± 0.2</t>
  </si>
  <si>
    <t>Road edgeline</t>
  </si>
  <si>
    <r>
      <t>2016 Kaik</t>
    </r>
    <r>
      <rPr>
        <sz val="10"/>
        <rFont val="Calibri"/>
        <family val="2"/>
      </rPr>
      <t>ō</t>
    </r>
    <r>
      <rPr>
        <sz val="10"/>
        <rFont val="Calibri"/>
        <family val="2"/>
        <scheme val="minor"/>
      </rPr>
      <t>ura Earthquake rupture. Measured using RTK profile.</t>
    </r>
  </si>
  <si>
    <t>Williams et al. (2018)</t>
  </si>
  <si>
    <t>Limestone Stream</t>
  </si>
  <si>
    <t>2.0 ± 0.3</t>
  </si>
  <si>
    <t>2016 Kaikōura Earthquake rupture. Measured using measuring tape and LiDAR profile.</t>
  </si>
  <si>
    <t>Okarahia</t>
  </si>
  <si>
    <t>0.5 ± 0.1
0.6 ± 0.15</t>
  </si>
  <si>
    <t>Stream bed</t>
  </si>
  <si>
    <t>2016 Kaikōura Earthquake rupture. Measured using measuring tape.</t>
  </si>
  <si>
    <t>0.3 ± 0.1
0.3 ± 0.1</t>
  </si>
  <si>
    <t>0.8 ± 0.2
0.2 ± 0.1</t>
  </si>
  <si>
    <t>0.8 ± 0.2
0.8 ± 0.2</t>
  </si>
  <si>
    <t>Turf blocks</t>
  </si>
  <si>
    <t>0.9 ± 0.1
0.9 ± 0.1</t>
  </si>
  <si>
    <t>Tree roots</t>
  </si>
  <si>
    <t>1.1 ± 0.2
1.1 ± 0.2</t>
  </si>
  <si>
    <t>1.0 ± 0.2
1.2 ± 0.2</t>
  </si>
  <si>
    <t>Birches 2</t>
  </si>
  <si>
    <t>0.9 ± 0.2
0.5 ± 0.1</t>
  </si>
  <si>
    <t>Glencree</t>
  </si>
  <si>
    <t>2016 Kaikōura Earthquake rupture. Measured using measuring tape and RTK profile.</t>
  </si>
  <si>
    <t>2.25 ± 0.25</t>
  </si>
  <si>
    <t>2016 Kaikōura Earthquake rupture. Measured using measuring tape, LiDAR and UAV DEM profile.</t>
  </si>
  <si>
    <t>1.0 ± 0.2
0.4 ± 0.1</t>
  </si>
  <si>
    <t>1.0 ± 0.5
0.08 ± 0.02</t>
  </si>
  <si>
    <t>0.8 ± 0.2</t>
  </si>
  <si>
    <t>Trace, fence</t>
  </si>
  <si>
    <t>1.0 ± 0.3
0.5 ± 0.2</t>
  </si>
  <si>
    <t>1.0 ± 0.3
1.5 ± 0.5</t>
  </si>
  <si>
    <t>SH1 Coast 1</t>
  </si>
  <si>
    <t>0.4 ± 0.1
0.7 ± 0.2</t>
  </si>
  <si>
    <t>SH1 Coast 2</t>
  </si>
  <si>
    <t>1.5 ± 0.5
3.7 ± 0.5</t>
  </si>
  <si>
    <t>Hundalee</t>
  </si>
  <si>
    <t>55 (55-65)</t>
  </si>
  <si>
    <t>2.4 (1.9-2.8)</t>
  </si>
  <si>
    <t>0.6 (0.4-0.7)</t>
  </si>
  <si>
    <t>1.0 (0.7-1.2)</t>
  </si>
  <si>
    <t>1.2 (0.9-1.5)</t>
  </si>
  <si>
    <t>1.2 (1.0-1.3)</t>
  </si>
  <si>
    <t>0.5 (0.3-0.6)</t>
  </si>
  <si>
    <t>2.4 (1.7-3.1)</t>
  </si>
  <si>
    <t>2.7 (2.2-3.1)</t>
  </si>
  <si>
    <t>3.1 (2.2-3.7)</t>
  </si>
  <si>
    <t>1.2 (0.6-1.8)</t>
  </si>
  <si>
    <t>0.9 (0.4-1.2)</t>
  </si>
  <si>
    <t>0.9 (0.6-1.0)</t>
  </si>
  <si>
    <t>1.0 (0.7-1.3)</t>
  </si>
  <si>
    <t>1.3 (0.9-1.6)</t>
  </si>
  <si>
    <t>1.7 (1.3-2.1)</t>
  </si>
  <si>
    <t>1.7 (1.3-2.0)</t>
  </si>
  <si>
    <t>1.3 (0.9-1.5)</t>
  </si>
  <si>
    <t>1.3 (0.8-1.7)</t>
  </si>
  <si>
    <t>1.9 (1.3-2.6)</t>
  </si>
  <si>
    <t>0.9 (0.6-1.1)</t>
  </si>
  <si>
    <t>4.1 (3.4-4.9)</t>
  </si>
  <si>
    <t>2.1 (1.8-2.4)</t>
  </si>
  <si>
    <t>&lt;2.7</t>
  </si>
  <si>
    <t>&lt; 2.2</t>
  </si>
  <si>
    <r>
      <rPr>
        <sz val="10"/>
        <color theme="1"/>
        <rFont val="Calibri"/>
        <family val="2"/>
      </rPr>
      <t>≥</t>
    </r>
    <r>
      <rPr>
        <sz val="10"/>
        <color theme="1"/>
        <rFont val="Calibri"/>
        <family val="2"/>
        <scheme val="minor"/>
      </rPr>
      <t>1.1 (0.9-2.1)</t>
    </r>
  </si>
  <si>
    <t xml:space="preserve">2010 Darfield Earthquake rupture. </t>
  </si>
  <si>
    <t>2010 Darfield Earthquake rupture. Measured from RTK profiles.</t>
  </si>
  <si>
    <t>2010 Darfield Earthquake rupture.</t>
  </si>
  <si>
    <t>2010 Darfield Earthquake rupture. Measured from LiDAR profile.</t>
  </si>
  <si>
    <t>2010 Darfield Earthquake rupture. Measured with Tape and Compass</t>
  </si>
  <si>
    <t>2010 Darfield Earthquake rupture. Preferred value.</t>
  </si>
  <si>
    <t>2010 Darfield Earthquake rupture. Measured using orthophoto.</t>
  </si>
  <si>
    <t>2010 Darfield Earthquake rupture. Preferred value</t>
  </si>
  <si>
    <t>2010 Darfield Earthquake rupture. Measured from RTK profiles. Preferred value.</t>
  </si>
  <si>
    <t>2010 Darfield Earthquake rupture. Combined local displacement</t>
  </si>
  <si>
    <t>2010 Darfield Earthquake rupture. Measured using orthophoto, Lidar and RTK data.</t>
  </si>
  <si>
    <t>2010 Darfield Earthquake rupture. Measured using orthophoto and Lidar data.</t>
  </si>
  <si>
    <t>2010 Darfield Earthquake rupture. Measured using LiDAR data.</t>
  </si>
  <si>
    <t>Mahanga Road</t>
  </si>
  <si>
    <t>1931 Hawke's Bay (Napier) Earthquake rupture. Measurement method not stated. No uncertainties.</t>
  </si>
  <si>
    <t>Henderson (1933), Hull (1990)</t>
  </si>
  <si>
    <t>Henderson, J. 1933 Geological aspects of the Hawke's Bay earthquakes. New Zealand journal of science and technology, 15: 38-75</t>
  </si>
  <si>
    <t>Tp pumice terrace</t>
  </si>
  <si>
    <t>South of Turamoe Road</t>
  </si>
  <si>
    <t>1.8-3</t>
  </si>
  <si>
    <t>Henderson (1933)</t>
  </si>
  <si>
    <t>Fence south of Bridge Pa</t>
  </si>
  <si>
    <t>Drain NNE of N. Campbell's house</t>
  </si>
  <si>
    <t>Fence SE of Poukawa Railway Station</t>
  </si>
  <si>
    <t>SS</t>
  </si>
  <si>
    <t>1931 Hawke's Bay (Napier) Earthquake rupture. Type of strike-slip not stated. Measurement method not stated. No uncertainties.</t>
  </si>
  <si>
    <t>Poukawa trench site</t>
  </si>
  <si>
    <t>Awanui</t>
  </si>
  <si>
    <t>&gt;4.5</t>
  </si>
  <si>
    <t>From offset of trench units. Minimum because not exposed on footwall. No uncertainties.</t>
  </si>
  <si>
    <t>Argyll trenches</t>
  </si>
  <si>
    <t>From 1.5 m in trenches and then doubled because only trenched one scarp. No uncertainties.</t>
  </si>
  <si>
    <t>AF98-21</t>
  </si>
  <si>
    <t>AF98-23b</t>
  </si>
  <si>
    <t>AF98-18</t>
  </si>
  <si>
    <t>AF98-12</t>
  </si>
  <si>
    <t>AF98-11b</t>
  </si>
  <si>
    <t>AF-13b</t>
  </si>
  <si>
    <t>AF98-24</t>
  </si>
  <si>
    <t>0-4</t>
  </si>
  <si>
    <t>0-2
0.4-0.6</t>
  </si>
  <si>
    <t>0-3
0.2-0.3</t>
  </si>
  <si>
    <t>0-2</t>
  </si>
  <si>
    <t>0-2
0.2-0.3</t>
  </si>
  <si>
    <t>3-6
1-1.5</t>
  </si>
  <si>
    <t>5 ± 1
0.5</t>
  </si>
  <si>
    <t>Gully</t>
  </si>
  <si>
    <t>Gullies</t>
  </si>
  <si>
    <t>≥2 (0-4)</t>
  </si>
  <si>
    <t>Calculated using the CFM dip</t>
  </si>
  <si>
    <r>
      <t xml:space="preserve">Assume Net SED </t>
    </r>
    <r>
      <rPr>
        <sz val="10"/>
        <color theme="1"/>
        <rFont val="Calibri"/>
        <family val="2"/>
      </rPr>
      <t>≥RL SED</t>
    </r>
    <r>
      <rPr>
        <sz val="10"/>
        <color theme="1"/>
        <rFont val="Calibri"/>
        <family val="2"/>
        <scheme val="minor"/>
      </rPr>
      <t xml:space="preserve"> and preferred value is the midpoint of range</t>
    </r>
  </si>
  <si>
    <t>Assume Net SED ≥RL SED and preferred value is the midpoint of range</t>
  </si>
  <si>
    <t>Calculated using the CFM dip and preferred value is midpoint of range</t>
  </si>
  <si>
    <t>≥1 (0-2)</t>
  </si>
  <si>
    <t>Calculated using the CFM dip and inferred V uncertainty of ±0.25 m.</t>
  </si>
  <si>
    <t>1.5 (0.3-3)</t>
  </si>
  <si>
    <t>1 (0.3-2)</t>
  </si>
  <si>
    <t>4.7 (3.2-6.2)</t>
  </si>
  <si>
    <t>5 (4.1-6.2)</t>
  </si>
  <si>
    <t>660-530 cal yr BP</t>
  </si>
  <si>
    <t>SRF98-3</t>
  </si>
  <si>
    <t>SRF98-6</t>
  </si>
  <si>
    <t>SRF98-7</t>
  </si>
  <si>
    <t>&lt;8.5-11.5
0.5-1</t>
  </si>
  <si>
    <t>1.4-2</t>
  </si>
  <si>
    <t>3.2-5.6
0.5-1</t>
  </si>
  <si>
    <t>&lt;10 (8.5-11.6)</t>
  </si>
  <si>
    <t>&gt;1.7 (1.4-2)</t>
  </si>
  <si>
    <t>4.5 (3.2-5.7)</t>
  </si>
  <si>
    <t>WF98-1b</t>
  </si>
  <si>
    <t>WF98-2</t>
  </si>
  <si>
    <t>WF98-3</t>
  </si>
  <si>
    <t>WF98-5</t>
  </si>
  <si>
    <t>WF98-6</t>
  </si>
  <si>
    <t>WF98-8</t>
  </si>
  <si>
    <t>WF98-13</t>
  </si>
  <si>
    <t>WF98-14</t>
  </si>
  <si>
    <t>WF98-16</t>
  </si>
  <si>
    <t>WF98-18</t>
  </si>
  <si>
    <t>WF98-19</t>
  </si>
  <si>
    <t>3.3-4.3</t>
  </si>
  <si>
    <t>4.3-6.5</t>
  </si>
  <si>
    <t>3.4-4.9</t>
  </si>
  <si>
    <t>0.3-0.6</t>
  </si>
  <si>
    <t>1.5</t>
  </si>
  <si>
    <t>0-2
&lt;1</t>
  </si>
  <si>
    <t>Inferred to be 1855 Wairarapa Earthquake rupture. Measurement method not stated. Schemer et al. (1998) assigned a low quality ranking of D.</t>
  </si>
  <si>
    <t>Inferred to be 1855 Wairarapa Earthquake rupture. Measurement method not stated. Schemer et al. (1998) assigned a low quality ranking of C-D.</t>
  </si>
  <si>
    <t>Inferred to be 1855 Wairarapa Earthquake rupture. Measurement method not stated. Schemer et al. (1998) didn't assign a quality ranking but note an "incredibly fresh trace".</t>
  </si>
  <si>
    <t>Inferred to be 1855 Wairarapa Earthquake rupture. Measurement method not stated. Schemer et al. (1998) assigned a relatively low quality ranking of C.</t>
  </si>
  <si>
    <t>Inferred to be 1855 Wairarapa Earthquake rupture. Measurement method not stated. Schemer et al. (1998) assigned a high quality ranking of A.</t>
  </si>
  <si>
    <t>Inferred to be either 1855 Wairarapa or 1943 Pahiatua Earthquake rupture. Measurement method not stated. Schemer et al. (1998) assigned a relatively low quality ranking of C-D.</t>
  </si>
  <si>
    <t>Inferred to be either 1855 Wairarapa or 1943 Pahiatua Earthquake rupture. Measurement method not stated. Horizontal component couldn't be measured.</t>
  </si>
  <si>
    <t>Inferred to be either 1855 Wairarapa or 1943 Pahiatua Earthquake rupture. Measurement method not stated. Schemer et al. (1998) assigned a medium quality ranking of -B.</t>
  </si>
  <si>
    <t>Schermer et al. (1998, 2004)</t>
  </si>
  <si>
    <t>4.1 (2.8-5.5)</t>
  </si>
  <si>
    <t>4.7 (3.3-6.8)</t>
  </si>
  <si>
    <t>1.5 (0.8-2.6)</t>
  </si>
  <si>
    <t>Minimum value because only V</t>
  </si>
  <si>
    <t>Measurement method not stated. Schermer et al. (1998) assigned a high quality ranking of A-.</t>
  </si>
  <si>
    <t>Measurement method not stated. Schermer et al. (1998) assigned a very low quality ranking of E.</t>
  </si>
  <si>
    <t>Measurement method not stated. Schermer et al. (1998) assigned a relatively low quality ranking of C-D.</t>
  </si>
  <si>
    <t>Ridge?</t>
  </si>
  <si>
    <t>Measurement method not stated. RL component only.</t>
  </si>
  <si>
    <t>Measurement method not stated. V component only.</t>
  </si>
  <si>
    <t>EPF98-4</t>
  </si>
  <si>
    <t>EPF98-9</t>
  </si>
  <si>
    <t>EPF98-10</t>
  </si>
  <si>
    <t>EPF98-21</t>
  </si>
  <si>
    <t>EPF98-22</t>
  </si>
  <si>
    <t>EPF98-23</t>
  </si>
  <si>
    <t>EPF98-26</t>
  </si>
  <si>
    <t>EPF98-27a</t>
  </si>
  <si>
    <t>EPF98-27b</t>
  </si>
  <si>
    <t>2.3-4.4
0.3-0.5</t>
  </si>
  <si>
    <t>0-1
0.6-0.8</t>
  </si>
  <si>
    <t>2.1-2.9
0.2-0.5</t>
  </si>
  <si>
    <t>4-5
0.5-1</t>
  </si>
  <si>
    <t>0.5-0.9</t>
  </si>
  <si>
    <t>1.3-1.8
0.3-0.6</t>
  </si>
  <si>
    <t>0-1
1.2-1.5</t>
  </si>
  <si>
    <t>0-4
0.5-1.5</t>
  </si>
  <si>
    <t>3.4 (2.2-4.6)</t>
  </si>
  <si>
    <t>2.5 (1.3-3.7)</t>
  </si>
  <si>
    <t>1.6 (0.5-2.8)</t>
  </si>
  <si>
    <t>0.9 (0.9-1.9)</t>
  </si>
  <si>
    <t>4.6 (3.3-5.8)</t>
  </si>
  <si>
    <t>1.6 (1.4-2.5)</t>
  </si>
  <si>
    <t>2.3 (0.9-3.6)</t>
  </si>
  <si>
    <t>Calculated using the CFM dip and preferred value is midpoint of range. Assigned V uncertainty of ±0.25 m.</t>
  </si>
  <si>
    <t xml:space="preserve">1934 Pahiatua Earthquake rupture. Measurement method not stated. </t>
  </si>
  <si>
    <t>0-1
3 ± 0.3</t>
  </si>
  <si>
    <t>3.2 (2.8-4.2)</t>
  </si>
  <si>
    <t>1934 Pahiatua Earthquake rupture. Measurement method not stated. Schermer et al. (1998) assigned a low quality ranking of C-D.</t>
  </si>
  <si>
    <t>1934 Pahiatua Earthquake rupture. Measurement method not stated. Schermer et al. (1998) assigned a low quality ranking of D.</t>
  </si>
  <si>
    <t>1934 Pahiatua Earthquake rupture. Measurement method not stated. V component only.</t>
  </si>
  <si>
    <t>1934 Pahiatua Earthquake rupture. Measurement method not stated. Schermer et al. (1998) assigned a medium quality ranking of C.</t>
  </si>
  <si>
    <t>Seafloor</t>
  </si>
  <si>
    <t>2016 Kaikōura Earthquake rupture. Measured using multibeam data.</t>
  </si>
  <si>
    <t>2016 Kaikōura Earthquake rupture. Measured using Greenband Lidar data.</t>
  </si>
  <si>
    <t>Beach deposits</t>
  </si>
  <si>
    <t>2016 Kaikōura Earthquake rupture. LL measured using LiDAR, V using Differential LiDAR.</t>
  </si>
  <si>
    <t>3.9 ± 0.4
4.5 ± 0.5</t>
  </si>
  <si>
    <t>Dune ridge</t>
  </si>
  <si>
    <t>2016 Kaikōura Earthquake rupture. LL measured using RTK-GPS, V using Differential LiDAR.</t>
  </si>
  <si>
    <t>4.5 ± 0.4
4.3 ± 0.4</t>
  </si>
  <si>
    <t>6.1 ± 0.5
3.6 ± 0.4</t>
  </si>
  <si>
    <t>6.1 ± 0.5
4.5 ± 0.4</t>
  </si>
  <si>
    <t>5.8 ± 0.5
4.3 ± 0.4</t>
  </si>
  <si>
    <t>5.6 ± 0.3
4.2 ± 0.2</t>
  </si>
  <si>
    <t>Road centreline</t>
  </si>
  <si>
    <t>4.7 ± 0.4
4.2 ± 0.4</t>
  </si>
  <si>
    <t>2.0 ± 0.6
4.0 ± 0.5</t>
  </si>
  <si>
    <t>2016 Kaikōura Earthquake rupture. LL measured using Orthopho and LiDAR, V using Differential LiDAR.</t>
  </si>
  <si>
    <t>3.9 ± 0.5
3.0 ± 0.3</t>
  </si>
  <si>
    <t>2016 Kaikōura Earthquake rupture. LL and V measured using RTK-GPS.</t>
  </si>
  <si>
    <t>&gt;1.8-2.0</t>
  </si>
  <si>
    <t>4.0 ± 0.5
2.0 ± 0.5</t>
  </si>
  <si>
    <t>3.0 ± 0.5</t>
  </si>
  <si>
    <t>??</t>
  </si>
  <si>
    <t>2016 Kaikōura Earthquake rupture. LL measured using Total Station, V using Differential LiDAR.</t>
  </si>
  <si>
    <t>4.0 ± 0.2
7.0 ± 0.5</t>
  </si>
  <si>
    <t>Fence and treeline</t>
  </si>
  <si>
    <t>5.0 ± 0.2
7.0 ± 0.3</t>
  </si>
  <si>
    <t>Roofline</t>
  </si>
  <si>
    <t>4.3 ± 0.2
7.0 ± 0.5</t>
  </si>
  <si>
    <t>&gt;3.2
7.0 ± 0.3</t>
  </si>
  <si>
    <t>3.4 ± 0.2
7.0 ± 0.5</t>
  </si>
  <si>
    <t>Fence and drain</t>
  </si>
  <si>
    <t>5.5 ± 0.3
6.8 ± 0.3</t>
  </si>
  <si>
    <t>Track/race</t>
  </si>
  <si>
    <t>&gt;2.3
7.4 ± 0.3</t>
  </si>
  <si>
    <t>Field edge</t>
  </si>
  <si>
    <t>4.3 ± 0.5
9.0 ± 0.3</t>
  </si>
  <si>
    <t>5.0 ± 0.5
9.0 ± 0.3</t>
  </si>
  <si>
    <t>5.0 ± 0.5
9.0 ± 0.2</t>
  </si>
  <si>
    <t>&gt;4.0
7.0 ± 0.3</t>
  </si>
  <si>
    <t>2
7.0 ± 0.3</t>
  </si>
  <si>
    <t>4.0 ± 1.0
6.0 ± 1.0</t>
  </si>
  <si>
    <t>Ridgeline/spur</t>
  </si>
  <si>
    <t>3.5 ± 0.5
7.0 ± 1.0</t>
  </si>
  <si>
    <t>5.5 ± 0.5
8.0 ± 1.0</t>
  </si>
  <si>
    <t>Lake sill edge</t>
  </si>
  <si>
    <t>4.6 ± 0.5
8.0 ± 0.3</t>
  </si>
  <si>
    <t>Treeline</t>
  </si>
  <si>
    <t>4.6 ± 0.5
7.8 ± 0.2</t>
  </si>
  <si>
    <t>4.0 ± 0.5
7.6 ± 0.3</t>
  </si>
  <si>
    <t>4.3 ± 1.0
7.6 ± 0.4</t>
  </si>
  <si>
    <t>4.3 ± 0.5
7.5  ± 0.3</t>
  </si>
  <si>
    <t>&gt;2.0
7.5 ± 0.3</t>
  </si>
  <si>
    <t>4.0 ± 1.0
7.0 ± 0.2</t>
  </si>
  <si>
    <t>Line of farm features</t>
  </si>
  <si>
    <t>4.2 ± 1.0
6.6 ± 0.4</t>
  </si>
  <si>
    <t>4.0 ± 1.0
6.5 ± 0.4</t>
  </si>
  <si>
    <t>4.4 ± 0.5
6.3 ± 0.3</t>
  </si>
  <si>
    <t>&gt;2.0
6.0 ± 0.3</t>
  </si>
  <si>
    <t>Powerline</t>
  </si>
  <si>
    <t>4.0 ± 1.0
5.8 ± 0.3</t>
  </si>
  <si>
    <t>4.7 ± 0.2
5.8 ± 0.5</t>
  </si>
  <si>
    <t>Orchard line</t>
  </si>
  <si>
    <t>&gt;3.6 ± 0.2
5.7 ± 0.5</t>
  </si>
  <si>
    <t>4.6 ± 0.2
5.6 ± 0.5</t>
  </si>
  <si>
    <t>4.0 ± 0.8
5.5 ± 0.5</t>
  </si>
  <si>
    <t>3.8 ± 0.5
5.5 ± 0.5</t>
  </si>
  <si>
    <t>3.0 ± 1.0
5.3 ± 0.5</t>
  </si>
  <si>
    <t>???</t>
  </si>
  <si>
    <t>&gt;1.0
4.8 ± 0.4</t>
  </si>
  <si>
    <t>2016 Kaikōura Earthquake rupture. LL measured using tape measure, V using Differential LiDAR.</t>
  </si>
  <si>
    <t>2.0 ± 1.0
4.8 ± 0.4</t>
  </si>
  <si>
    <t>&gt;1.0
4.5 ± 0.5</t>
  </si>
  <si>
    <t>1.3 ± 0.5
2.8 ± 0.7</t>
  </si>
  <si>
    <t>W-18</t>
  </si>
  <si>
    <t>W-16</t>
  </si>
  <si>
    <t>W-15</t>
  </si>
  <si>
    <t>W-13</t>
  </si>
  <si>
    <t>W-11</t>
  </si>
  <si>
    <t>Shore platform</t>
  </si>
  <si>
    <t>2016 Kaikōura Earthquake rupture. Measured using Differential LiDAR.</t>
  </si>
  <si>
    <t>W-10</t>
  </si>
  <si>
    <t>W-8</t>
  </si>
  <si>
    <t>W-6</t>
  </si>
  <si>
    <t>&lt;0.5
2.5 ± 0.5</t>
  </si>
  <si>
    <t>Beach</t>
  </si>
  <si>
    <t>W-4</t>
  </si>
  <si>
    <t>&lt;0.5
3.0 ± 0.2</t>
  </si>
  <si>
    <t>W-2</t>
  </si>
  <si>
    <t>W0</t>
  </si>
  <si>
    <t>W2</t>
  </si>
  <si>
    <t>W4</t>
  </si>
  <si>
    <t>W9</t>
  </si>
  <si>
    <t>W49</t>
  </si>
  <si>
    <t>W51</t>
  </si>
  <si>
    <t>W53</t>
  </si>
  <si>
    <t>W55</t>
  </si>
  <si>
    <t>W57</t>
  </si>
  <si>
    <t>W61</t>
  </si>
  <si>
    <t>W63</t>
  </si>
  <si>
    <t>W65</t>
  </si>
  <si>
    <t>W67</t>
  </si>
  <si>
    <t>W69</t>
  </si>
  <si>
    <t>W71</t>
  </si>
  <si>
    <t>W73</t>
  </si>
  <si>
    <t>Ridgeline</t>
  </si>
  <si>
    <t>W75</t>
  </si>
  <si>
    <t>W77</t>
  </si>
  <si>
    <t>W79</t>
  </si>
  <si>
    <t>W81</t>
  </si>
  <si>
    <t>W83</t>
  </si>
  <si>
    <t>W85</t>
  </si>
  <si>
    <t>E3</t>
  </si>
  <si>
    <t>E5</t>
  </si>
  <si>
    <t>E7</t>
  </si>
  <si>
    <t>E9</t>
  </si>
  <si>
    <t>Farmland</t>
  </si>
  <si>
    <t>E10</t>
  </si>
  <si>
    <t>E12</t>
  </si>
  <si>
    <t>3.3 ± 0.2</t>
  </si>
  <si>
    <t>3.8 ± 0.2</t>
  </si>
  <si>
    <t>4.4 ± 0.4</t>
  </si>
  <si>
    <t>4.0 ± 1.0</t>
  </si>
  <si>
    <t>5.0 ± 0.5</t>
  </si>
  <si>
    <t>5.5 ± 1.0</t>
  </si>
  <si>
    <t>6.5 ± 1.0</t>
  </si>
  <si>
    <t>7.0 ± 1.0</t>
  </si>
  <si>
    <t>5.0 ± 0.4</t>
  </si>
  <si>
    <t>1.0 ± 0.2</t>
  </si>
  <si>
    <t>2.0 ± 1.0</t>
  </si>
  <si>
    <t>2.6 ± 0.6</t>
  </si>
  <si>
    <t>1.8 ± 0.5</t>
  </si>
  <si>
    <t>1.0 ± 0.7</t>
  </si>
  <si>
    <t>2.0 ± 0.8</t>
  </si>
  <si>
    <t>1.6 ± 0.5</t>
  </si>
  <si>
    <t>1.0 ± 0.5</t>
  </si>
  <si>
    <t>3.0 ± 0.5
&gt;1.5</t>
  </si>
  <si>
    <t>6.5 (5.5-7.8)</t>
  </si>
  <si>
    <t>9.5 (8.6-10.9)</t>
  </si>
  <si>
    <t>6.7 (5.8-7.9)</t>
  </si>
  <si>
    <t>7.4 (6.6-8.4)</t>
  </si>
  <si>
    <t>8.0 (7.1-9.2)</t>
  </si>
  <si>
    <t>7.6 (6.7-8.8)</t>
  </si>
  <si>
    <t>7.4 (6.8-8.2)</t>
  </si>
  <si>
    <t>6.8 (5.9-7.9)</t>
  </si>
  <si>
    <t>5.0 (4.0-6.4)</t>
  </si>
  <si>
    <t>5.2 (3.5-8.2)</t>
  </si>
  <si>
    <t>4.6 (3.8-5.6)</t>
  </si>
  <si>
    <t>3.5 (2.7-4.4)</t>
  </si>
  <si>
    <t>9.0 (7.9-10.7)</t>
  </si>
  <si>
    <t>9.2 (8.0-10.8)</t>
  </si>
  <si>
    <t>8.7 (7.6-10.2)</t>
  </si>
  <si>
    <t>8.8 (7.6-10.4)</t>
  </si>
  <si>
    <t>9.6 (8.7-10.9)</t>
  </si>
  <si>
    <t>8.8 (7.8-10.4)</t>
  </si>
  <si>
    <t>11.2 (10.0-13.1)</t>
  </si>
  <si>
    <t>11.5 (10.3-13.3)</t>
  </si>
  <si>
    <t>11.5 (10.4-13.2)</t>
  </si>
  <si>
    <t>9.0 (7.9-10.5)</t>
  </si>
  <si>
    <t>8.3 (7.3-9.9)</t>
  </si>
  <si>
    <t>8.0 (6.1-10.4)</t>
  </si>
  <si>
    <t>8.8 (7.1-11.2)</t>
  </si>
  <si>
    <t>10.8 (9.0-13.2)</t>
  </si>
  <si>
    <t>10.3 (8.5-12.8)</t>
  </si>
  <si>
    <t>10.1 (9.1-11.6)</t>
  </si>
  <si>
    <t>9.6 (8.5-11.3)</t>
  </si>
  <si>
    <t>9.8 (8.4-11.6)</t>
  </si>
  <si>
    <t>9.7 (8.6-11.3)</t>
  </si>
  <si>
    <t>8.9 (7.8-10.5)</t>
  </si>
  <si>
    <t>9.0 (7.8-10.6)</t>
  </si>
  <si>
    <t>8.7 (7.3-10.5)</t>
  </si>
  <si>
    <t>8.5 (7.2-10.3)</t>
  </si>
  <si>
    <t>8.5 (7.5-9.9)</t>
  </si>
  <si>
    <t>7.2 (6.2-8.6)</t>
  </si>
  <si>
    <t>7.8 (6.6-9.4)</t>
  </si>
  <si>
    <t>8.2 (7.2-9.6)</t>
  </si>
  <si>
    <t>7.5 (6.5-8.9)</t>
  </si>
  <si>
    <t>7.9 (7.0-9.3)</t>
  </si>
  <si>
    <t>7.5 (6.2-9.2)</t>
  </si>
  <si>
    <t>7.4 (6.3-8.9)</t>
  </si>
  <si>
    <t>7.9 (6.5-9.7)</t>
  </si>
  <si>
    <t>5.6 (4.7-7.0)</t>
  </si>
  <si>
    <t>5.9 (4.8-7.4)</t>
  </si>
  <si>
    <t>5.3 (4.3-6.7)</t>
  </si>
  <si>
    <t>2.9 (2.1-4.0)</t>
  </si>
  <si>
    <t>3.5 (3.0-4.3)</t>
  </si>
  <si>
    <t>4.8 ± 1.0
7.0 ± 0.4</t>
  </si>
  <si>
    <t>9.4 (8.0-11.3)</t>
  </si>
  <si>
    <t>3.5 (2.4-4.9)</t>
  </si>
  <si>
    <t>6.0 ± 1.0</t>
  </si>
  <si>
    <t>LL component couldn't be measured so assume V is likely a minimum Net SED.</t>
  </si>
  <si>
    <t>LL component not measured so assume V is likely a minimum Net SED.</t>
  </si>
  <si>
    <t>V component not measured so assume LL is likely a minimum Net SED.</t>
  </si>
  <si>
    <t>&gt;1.9 (1.8-2.0)</t>
  </si>
  <si>
    <t>Calculated using the CFM dip and inferred a LL uncertainty of ±0.5 m.</t>
  </si>
  <si>
    <t>Calculated using the CFM dip and inferred a V uncertainty of ±0.5 m.</t>
  </si>
  <si>
    <t>≥1.0 (0.5-1.5)</t>
  </si>
  <si>
    <t>≥1.0 (0.8-1.2)</t>
  </si>
  <si>
    <t>≥3.0 (2.6-3.4)</t>
  </si>
  <si>
    <t>≥1.3 (0.9-1.7)</t>
  </si>
  <si>
    <t>≥2.0 (1.5-2.5)</t>
  </si>
  <si>
    <t>≥1.5 (1.1-1.9)</t>
  </si>
  <si>
    <t>≥1.5 1.2-1.8)</t>
  </si>
  <si>
    <t>≥2.0 (1.0-3.0)</t>
  </si>
  <si>
    <t>≥1.5 (1.0-2.0)</t>
  </si>
  <si>
    <t>≥1.2 (0.7-1.7)</t>
  </si>
  <si>
    <t>≥0.8 (0.5-1.1)</t>
  </si>
  <si>
    <t>≥0.6 (0.4-0.8)</t>
  </si>
  <si>
    <t>≥2.6 (2.0-3.2)</t>
  </si>
  <si>
    <t>≥0.8 (0.4-1.2)</t>
  </si>
  <si>
    <t>≥0.2 (0-0.5)</t>
  </si>
  <si>
    <t>≥0.4 (0.1-0.7)</t>
  </si>
  <si>
    <t>≥0.5 (0.2-0.8)</t>
  </si>
  <si>
    <t>≥1.8 (1.3-2.3)</t>
  </si>
  <si>
    <t>≥3.0 (2.5-3.5)</t>
  </si>
  <si>
    <t>≥1.0 (0.3-1.7)</t>
  </si>
  <si>
    <t>≥2.0 (1.2-2.8)</t>
  </si>
  <si>
    <t>≥1.6 (1.1-2.1)</t>
  </si>
  <si>
    <t>≥0.6 (0.3-0.9)</t>
  </si>
  <si>
    <t>≥0.5 (0.1-0.9)</t>
  </si>
  <si>
    <t>≥1.0 (0.6-1.4)</t>
  </si>
  <si>
    <t>≥1.4 (0.9-1.9)</t>
  </si>
  <si>
    <r>
      <rPr>
        <sz val="10"/>
        <color theme="1"/>
        <rFont val="Calibri"/>
        <family val="2"/>
      </rPr>
      <t>≥</t>
    </r>
    <r>
      <rPr>
        <sz val="10"/>
        <color theme="1"/>
        <rFont val="Calibri"/>
        <family val="2"/>
        <scheme val="minor"/>
      </rPr>
      <t>3.3 (3.1-3.5)</t>
    </r>
  </si>
  <si>
    <t>≥3.8 (3.6-4.0)</t>
  </si>
  <si>
    <t>≥3.3 (3.1-3.5)</t>
  </si>
  <si>
    <t>≥2.3 (2.1-2.5)</t>
  </si>
  <si>
    <t>≥4.4 (4.0-4.8)</t>
  </si>
  <si>
    <t>≥4.0 (3.0-5.0)</t>
  </si>
  <si>
    <t>≥5.0 (4.5-5.5)</t>
  </si>
  <si>
    <t>≥5.5 (4.5-6.5)</t>
  </si>
  <si>
    <t>≥6.5 (5.5-7.5)</t>
  </si>
  <si>
    <t>≥7.0 (6.0-8.0)</t>
  </si>
  <si>
    <t>≥5.0 (4.6-5.4)</t>
  </si>
  <si>
    <t>≥5.0 (4.0-6.0)</t>
  </si>
  <si>
    <t>≥3.9 (3.5-4.4)</t>
  </si>
  <si>
    <t>≥6.0 (5.0-7.0)</t>
  </si>
  <si>
    <t>2.1 (0.2-4)</t>
  </si>
  <si>
    <t>Assume DS SED = net SED, preferred is midpoint</t>
  </si>
  <si>
    <t>0.9 (0.8-1)</t>
  </si>
  <si>
    <t>≥5.1 (3.9-5.3)</t>
  </si>
  <si>
    <t>≥5.4 (3.7-7.1)</t>
  </si>
  <si>
    <t>≥5.4 (3.6-7.2)</t>
  </si>
  <si>
    <t>≥4.3 (2.8-5.8)</t>
  </si>
  <si>
    <t>≥5.5 (4.7-6.3)</t>
  </si>
  <si>
    <t>Te Marua Combined</t>
  </si>
  <si>
    <t>Combined value of Little et al. (2010)</t>
  </si>
  <si>
    <t>5.5 (4.75-6.25)</t>
  </si>
  <si>
    <t>Reported value</t>
  </si>
  <si>
    <r>
      <rPr>
        <sz val="10"/>
        <rFont val="Calibri"/>
        <family val="2"/>
      </rPr>
      <t>≥3.8 (</t>
    </r>
    <r>
      <rPr>
        <sz val="10"/>
        <rFont val="Calibri"/>
        <family val="2"/>
        <scheme val="minor"/>
      </rPr>
      <t>3.3-4.3)</t>
    </r>
  </si>
  <si>
    <t>≥4.5 (4-5)</t>
  </si>
  <si>
    <t>≥5.4 (4.3-6.5)</t>
  </si>
  <si>
    <t>≥4.15 (3.4-4.9)</t>
  </si>
  <si>
    <t>&gt;0.45 (0.3-0.6)</t>
  </si>
  <si>
    <t>&gt;1.5 (1-2)</t>
  </si>
  <si>
    <t>&lt;2.6 (1.6-3.6)</t>
  </si>
  <si>
    <t>Net SED calculated using a reported dip angle of 75. Preferred is midpoint of range.</t>
  </si>
  <si>
    <t>5.8 (3.8-7.8)</t>
  </si>
  <si>
    <t>6.3 (3.3-9.3)</t>
  </si>
  <si>
    <t>5.1 (1.6-8.6)</t>
  </si>
  <si>
    <t>5 (2.7-7.3)</t>
  </si>
  <si>
    <t>7.7 (6.1-9.3)</t>
  </si>
  <si>
    <t>7 (4.5-9.5)</t>
  </si>
  <si>
    <t>5 (3.5-6.5)</t>
  </si>
  <si>
    <t>5 (4.5-5.5)</t>
  </si>
  <si>
    <r>
      <rPr>
        <sz val="10"/>
        <color theme="1"/>
        <rFont val="Calibri"/>
        <family val="2"/>
      </rPr>
      <t>≥</t>
    </r>
    <r>
      <rPr>
        <sz val="10"/>
        <color theme="1"/>
        <rFont val="Calibri"/>
        <family val="2"/>
        <scheme val="minor"/>
      </rPr>
      <t>13.5 (13-14)</t>
    </r>
  </si>
  <si>
    <t>≥9.7 (8-11.4)</t>
  </si>
  <si>
    <t>≥1.36 (1.3-1.42)</t>
  </si>
  <si>
    <t>≥12.4 (11.6-13.2)</t>
  </si>
  <si>
    <t>≥11.4 (9.7-13.1)</t>
  </si>
  <si>
    <t>≥1.30 (1.28-1.32)</t>
  </si>
  <si>
    <t>2.8 (1.2-4.4)</t>
  </si>
  <si>
    <t>0.5 (0.4-0.6)</t>
  </si>
  <si>
    <t>0.01 (0-0.14)</t>
  </si>
  <si>
    <t>0.12 (0-0.26)</t>
  </si>
  <si>
    <t>0.06 (0-0.2)</t>
  </si>
  <si>
    <t>0 (0-0.13)</t>
  </si>
  <si>
    <t>0.05 (0-0.18)</t>
  </si>
  <si>
    <t>0.2 (0-0.26)</t>
  </si>
  <si>
    <t>0.35 (0.21-0.52)</t>
  </si>
  <si>
    <t>Calculated DS using the CFM dip and assume = Net SED</t>
  </si>
  <si>
    <t>0.75 (0.4-1.1)</t>
  </si>
  <si>
    <t>&gt;0.15 (0.1-0.2)</t>
  </si>
  <si>
    <t>0.65 (0.1-1.2)</t>
  </si>
  <si>
    <r>
      <rPr>
        <sz val="10"/>
        <color theme="1"/>
        <rFont val="Calibri"/>
        <family val="2"/>
      </rPr>
      <t>≥</t>
    </r>
    <r>
      <rPr>
        <sz val="10"/>
        <color theme="1"/>
        <rFont val="Calibri"/>
        <family val="2"/>
        <scheme val="minor"/>
      </rPr>
      <t>6 (3.5-8.5)</t>
    </r>
  </si>
  <si>
    <t>≥5.5 (2.5-8.5)</t>
  </si>
  <si>
    <t>0.1 (0-0.3)</t>
  </si>
  <si>
    <t>1.0 (0.8-1.4)</t>
  </si>
  <si>
    <t>4.5 (3.5-6.8)</t>
  </si>
  <si>
    <t>Calculated dip slip SED and assumed DS = net SED. Used the CFM dip.</t>
  </si>
  <si>
    <t>3.1 (2-5)</t>
  </si>
  <si>
    <t>3.25 (3.0-3.5)</t>
  </si>
  <si>
    <t>Authors assumed a near vertical fault dip to calculate a net displacement. Preferred is midpoint of range.</t>
  </si>
  <si>
    <t>0.42 (0.12-0.71)</t>
  </si>
  <si>
    <t>Assume DS SED = net SED. Preferred is midpoint of range.</t>
  </si>
  <si>
    <t>5.55 (4.6-6.5)</t>
  </si>
  <si>
    <t>Maximum estimate of SED, calculated dip slip SED and assumed DS = net SED. Used the dip reported in Barrell et al. Preferred is midpoint of range.</t>
  </si>
  <si>
    <t>Calculated in paper as 3, but used numbers calculated in spreadsheet which used CFM dip and assumed a medium average vertical SED. Preferred is midpoint of range.</t>
  </si>
  <si>
    <t>&gt;0.7 (0.2-1.2)</t>
  </si>
  <si>
    <t>Used 3D method and no V given so assume RL = net SED. Preferred is midpoint of range.</t>
  </si>
  <si>
    <t>No V so consider could be a min. Preferred is midpoint of range.</t>
  </si>
  <si>
    <t>Converted to DS using CFM dip and assume = Net SED. Preferred is midpoint of range.</t>
  </si>
  <si>
    <t>Assume Dip SED = net SED. Preferred is midpoint of range.</t>
  </si>
  <si>
    <t>From restoration of trench units. Preferred is midpoint of range.</t>
  </si>
  <si>
    <t>Calculated using CFM dip. Preferred is midpoint of range.</t>
  </si>
  <si>
    <t>Assume SED Net equals RL SED. Preferred is midpoint of range.</t>
  </si>
  <si>
    <t>0.7 (0.2-1.2)</t>
  </si>
  <si>
    <t>&gt;3.0 (2.6-3.4)</t>
  </si>
  <si>
    <t>No marker to measure RL, so assume V is a minimum SED. Preferred is midpoint of range.</t>
  </si>
  <si>
    <t>≥4.6 (4.2-5.0)</t>
  </si>
  <si>
    <r>
      <rPr>
        <sz val="10"/>
        <color theme="1"/>
        <rFont val="Calibri"/>
        <family val="2"/>
      </rPr>
      <t>≥</t>
    </r>
    <r>
      <rPr>
        <sz val="10"/>
        <color theme="1"/>
        <rFont val="Calibri"/>
        <family val="2"/>
        <scheme val="minor"/>
      </rPr>
      <t>3.9 (0.5-4.3)</t>
    </r>
  </si>
  <si>
    <t>3 (2.4-3.6)</t>
  </si>
  <si>
    <t>RL SR considered to be net SR as V measurements not considered representative. Preferred is midpoint of range.</t>
  </si>
  <si>
    <t>2.6 (2.3-2.9)</t>
  </si>
  <si>
    <t>3 (2.6-3.4)</t>
  </si>
  <si>
    <t>4.5 (3.1-6.5)</t>
  </si>
  <si>
    <t>4.5 (3.5-6.3)</t>
  </si>
  <si>
    <t>4.2 (3.3-5.5)</t>
  </si>
  <si>
    <t>4.2 (3-4.4)</t>
  </si>
  <si>
    <t>4.2 (3-5.4)</t>
  </si>
  <si>
    <t>3.7 (2.2-4.7)</t>
  </si>
  <si>
    <t>4.5 (4-5.6)</t>
  </si>
  <si>
    <t>3.9 (2.4-5)</t>
  </si>
  <si>
    <t>4.4 (2.5-6.2)</t>
  </si>
  <si>
    <t>4.2 (3.7-4.7)</t>
  </si>
  <si>
    <t>4.7 (4.2-5.7)</t>
  </si>
  <si>
    <t>3.7 (2.5-4.7)</t>
  </si>
  <si>
    <t>3.5 (1.5-5.5)</t>
  </si>
  <si>
    <t>4.3 (3.8-5.6)</t>
  </si>
  <si>
    <t>3.8 (2.7-5.2)</t>
  </si>
  <si>
    <t>3.2 (2.2-4.2)</t>
  </si>
  <si>
    <t>4.4 (3.4-5.4)</t>
  </si>
  <si>
    <t>3.3 (2.3-4.3)</t>
  </si>
  <si>
    <t>2.4 (2.0-2.8)</t>
  </si>
  <si>
    <t>6 (2-10)</t>
  </si>
  <si>
    <t>SED estimate made from measurements of fault scarps across the fan, as well as from events in T04/2. Preferred is midpoint of range.</t>
  </si>
  <si>
    <t>7 (5-9)</t>
  </si>
  <si>
    <t>7 (2-12)</t>
  </si>
  <si>
    <t>6 (3-9)</t>
  </si>
  <si>
    <t>7.5 (5-10)</t>
  </si>
  <si>
    <t>9 (6-12)</t>
  </si>
  <si>
    <t>6.5 (1.5-10.5)</t>
  </si>
  <si>
    <t>7 (5.5-8.5)</t>
  </si>
  <si>
    <t>8 (5-11)</t>
  </si>
  <si>
    <t>8 (4-12)</t>
  </si>
  <si>
    <t>7 (4-11)</t>
  </si>
  <si>
    <t>5.5 (4-7)</t>
  </si>
  <si>
    <t>7.5 (2.5-10.5)</t>
  </si>
  <si>
    <t>6.5 (3.5-9.5)</t>
  </si>
  <si>
    <t>6.3 (4-8.6)</t>
  </si>
  <si>
    <t>5.5 (4.7-6.3)</t>
  </si>
  <si>
    <t>4.1 (3.6-4.6)</t>
  </si>
  <si>
    <t>4.8 (3.6-6)</t>
  </si>
  <si>
    <t>6 (5.5-6.5)</t>
  </si>
  <si>
    <t>Range from sites 565-567 and others. Preferred is midpoint of range</t>
  </si>
  <si>
    <t>4.6 (4.4-4.8)</t>
  </si>
  <si>
    <t>6.5 (5.5-7.5)</t>
  </si>
  <si>
    <t>6.5 (4.5-8.5)</t>
  </si>
  <si>
    <t>4 (3.5-5.5)</t>
  </si>
  <si>
    <t>5.6 (3.5-6.7)</t>
  </si>
  <si>
    <t>5.3 (3.5-7.1)</t>
  </si>
  <si>
    <t>4.2 (2.2-6.2)</t>
  </si>
  <si>
    <t>6.5 (3.4-8.6)</t>
  </si>
  <si>
    <t>5.1 (4.3-5.9)</t>
  </si>
  <si>
    <t>4.85 (4.15-5.55)</t>
  </si>
  <si>
    <t>4.6 (3.3-5.9)</t>
  </si>
  <si>
    <t>4.95 (3.25-6.65)</t>
  </si>
  <si>
    <t>5.1 (2.6-7.6)</t>
  </si>
  <si>
    <t>6.2 (4.5-7.9)</t>
  </si>
  <si>
    <t>4.4 (4.1-4.7)</t>
  </si>
  <si>
    <t>4 (3.8-4.2)</t>
  </si>
  <si>
    <t>5 (4-6)</t>
  </si>
  <si>
    <t>7 (6-8)</t>
  </si>
  <si>
    <r>
      <rPr>
        <sz val="10"/>
        <color theme="1"/>
        <rFont val="Calibri"/>
        <family val="2"/>
      </rPr>
      <t>≥</t>
    </r>
    <r>
      <rPr>
        <sz val="10"/>
        <color theme="1"/>
        <rFont val="Calibri"/>
        <family val="2"/>
        <scheme val="minor"/>
      </rPr>
      <t>0.2</t>
    </r>
  </si>
  <si>
    <t>LL only so assume LL SED ≥net SED</t>
  </si>
  <si>
    <t>1.0 (0.9-1.3)</t>
  </si>
  <si>
    <t>Calculated using the CFM dip and assume DS = Net SED</t>
  </si>
  <si>
    <t>Calculated using the CFM dip and infer uncertainty of ±0.5 m. Assume DS = Net SED</t>
  </si>
  <si>
    <t>Calculated using the CFM dip and assume net SED ≥DS</t>
  </si>
  <si>
    <r>
      <rPr>
        <sz val="10"/>
        <color theme="1"/>
        <rFont val="Calibri"/>
        <family val="2"/>
      </rPr>
      <t>≥</t>
    </r>
    <r>
      <rPr>
        <sz val="10"/>
        <color theme="1"/>
        <rFont val="Calibri"/>
        <family val="2"/>
        <scheme val="minor"/>
      </rPr>
      <t>8</t>
    </r>
  </si>
  <si>
    <t>≥9</t>
  </si>
  <si>
    <t>Assume Net SED ≥RL SED</t>
  </si>
  <si>
    <t>≥7.7 (6.6-8.8)</t>
  </si>
  <si>
    <t>≥7.5 (6.5-8.5)</t>
  </si>
  <si>
    <t>≥7.3 (4.6-10)</t>
  </si>
  <si>
    <t>≥6.9 (5-8.7)</t>
  </si>
  <si>
    <t>≥6 (4-8)</t>
  </si>
  <si>
    <t>≥9.3</t>
  </si>
  <si>
    <t>≥8</t>
  </si>
  <si>
    <t>≥7.5 (5.5-9.5)</t>
  </si>
  <si>
    <r>
      <rPr>
        <sz val="10"/>
        <color theme="1"/>
        <rFont val="Calibri"/>
        <family val="2"/>
      </rPr>
      <t>≥</t>
    </r>
    <r>
      <rPr>
        <sz val="10"/>
        <color theme="1"/>
        <rFont val="Calibri"/>
        <family val="2"/>
        <scheme val="minor"/>
      </rPr>
      <t>8.25 (5.25-11.25)</t>
    </r>
  </si>
  <si>
    <t>≥3.3 (2.3-4.3)</t>
  </si>
  <si>
    <r>
      <rPr>
        <sz val="10"/>
        <color theme="1"/>
        <rFont val="Calibri"/>
        <family val="2"/>
      </rPr>
      <t>≥3</t>
    </r>
    <r>
      <rPr>
        <sz val="10"/>
        <color theme="1"/>
        <rFont val="Calibri"/>
        <family val="2"/>
        <scheme val="minor"/>
      </rPr>
      <t xml:space="preserve"> (2.4)</t>
    </r>
  </si>
  <si>
    <t>≥6 (5.7)</t>
  </si>
  <si>
    <t>≥1.0 (0.7-1.3)</t>
  </si>
  <si>
    <t>1.3 (0.3-2.3)</t>
  </si>
  <si>
    <t>2.05 (1.6-2.5)</t>
  </si>
  <si>
    <t>2.35 (1.25-3.5)</t>
  </si>
  <si>
    <t>Assume RL SED = net SED. Preferred is midpoint of range.</t>
  </si>
  <si>
    <t>1.7 (0.4-2.1)</t>
  </si>
  <si>
    <t>3.1 (2.7-3.9)</t>
  </si>
  <si>
    <t>2.2 (1.8-2.8)</t>
  </si>
  <si>
    <t>2.5 (2.1-3.0)</t>
  </si>
  <si>
    <t>2.0 (1.7-2.6)</t>
  </si>
  <si>
    <t>2.0 (1.3-3.0)</t>
  </si>
  <si>
    <t>1.7 (1.4-2.1)</t>
  </si>
  <si>
    <t>0.9 (0.7-1.2)</t>
  </si>
  <si>
    <t>1.3 (1.0-1.7)</t>
  </si>
  <si>
    <t>0.8 (0.6-1.1)</t>
  </si>
  <si>
    <t>Calculated using the CFM dip and assume DS = net SED</t>
  </si>
  <si>
    <t>Fence near head of Sutro Creek</t>
  </si>
  <si>
    <t>1931 Hawke's Bay (Napier) Earthquake rupture. Sense of movement not stated but assume strike-slip. Measurement method not stated. No uncertainties.</t>
  </si>
  <si>
    <t>Reported value, assume no SS component.</t>
  </si>
  <si>
    <t>Reported value. Likely to be a minimum as V not reported.</t>
  </si>
  <si>
    <t>&gt;1.8</t>
  </si>
  <si>
    <t>Converted using CFM dip. Preferred is midpoint of range.</t>
  </si>
  <si>
    <t>0.9 (0.5-1.3)</t>
  </si>
  <si>
    <t>6.4 ± 0.2</t>
  </si>
  <si>
    <t>Reported average net SED from Langridge et al. (2018)</t>
  </si>
  <si>
    <t>Kaweka Forest</t>
  </si>
  <si>
    <t>Galatea Basin</t>
  </si>
  <si>
    <t>Waiohau Basin</t>
  </si>
  <si>
    <t>Te Hoe</t>
  </si>
  <si>
    <t>Ruatahuna</t>
  </si>
  <si>
    <t>Ruatoki North</t>
  </si>
  <si>
    <t>Te Arihau</t>
  </si>
  <si>
    <t>Wharepora</t>
  </si>
  <si>
    <t>3.5 ± 1.5</t>
  </si>
  <si>
    <t>3.4 ± 0.2</t>
  </si>
  <si>
    <t>5.5 ± 1</t>
  </si>
  <si>
    <t>2.8 ± 0.2</t>
  </si>
  <si>
    <t>5.5 ± 2</t>
  </si>
  <si>
    <t>Reported value of Mouslopoulou (2006)</t>
  </si>
  <si>
    <t>Trench stratigraphy?</t>
  </si>
  <si>
    <t>No details given of measurement other than from the Davis trenches of Hanson (1998)</t>
  </si>
  <si>
    <t>No details given of measurement other than from the Troutebeck trench of Beanland (1989)</t>
  </si>
  <si>
    <t>No details given of measurement other than from the Cornes trench of Woodward-Clyde (1998)</t>
  </si>
  <si>
    <t>No details given of measurement other than from the Te Hoe trench of Hull (1983)</t>
  </si>
  <si>
    <t>No details given of measurement other than from the Thalassa and Helios trench site</t>
  </si>
  <si>
    <t>No details given of measurement other than from the Ahirau trenches site</t>
  </si>
  <si>
    <t>No details given of measurement other than from the Te Marama trench site</t>
  </si>
  <si>
    <t>No details given of measurement other than from a trench, assumed to be Te Whetu</t>
  </si>
  <si>
    <t>65 ± 5</t>
  </si>
  <si>
    <t>Offshore Wairau F seismic lines</t>
  </si>
  <si>
    <t>2.5 (0.5-5.3)</t>
  </si>
  <si>
    <t>75 ± 5</t>
  </si>
  <si>
    <t>&gt;2.6 (0.5-5.4)</t>
  </si>
  <si>
    <t>Converted to DS using CFM dip but no SS so assume is a minimum</t>
  </si>
  <si>
    <t>Measured from progressive displacement in 8 events. Preferred is average, minimum and maxmimum are range of measured values.</t>
  </si>
  <si>
    <t>Offshore Cloudy F seismic lines</t>
  </si>
  <si>
    <t>1.2 (0.4-2.6)</t>
  </si>
  <si>
    <t>Measured from progressive displacement in 5 earthquakes. Preferred is average, minimum and maxmimum are range of measured values.</t>
  </si>
  <si>
    <t>&gt;1.4 (0.5-2.8)</t>
  </si>
  <si>
    <t>2.7 (1.0-6.4)</t>
  </si>
  <si>
    <t>&gt;2.9 (1.0-7.4)</t>
  </si>
  <si>
    <t>Offshore Vernon F seismic lines</t>
  </si>
  <si>
    <t>Converted to DS using CFM dip. Assume is a minimum because could be a SS component that couldn't be measured.</t>
  </si>
  <si>
    <t>Measured from progressive displacement in 6 earthquakes. Preferred is average, minimum and maxmimum are range of measured values.</t>
  </si>
  <si>
    <t>65 (50-70)</t>
  </si>
  <si>
    <t>From displacements in 3 earthquakes in the trench - 1.2 ± 0.2 m, 1.1 ± 0.7 m and 1.2 ± 1.0.</t>
  </si>
  <si>
    <t>≥1.1 (0-2.6)</t>
  </si>
  <si>
    <t>Converted to DS using CFM dip and added uncertainty of ±1 m from individual measurements. Possible minimum because could have SS and not measured.</t>
  </si>
  <si>
    <t>Beta Terrace</t>
  </si>
  <si>
    <t>1 ± 0.03</t>
  </si>
  <si>
    <t>≥1.1 (1-1.3)</t>
  </si>
  <si>
    <t>From dividing the total scarp height (3 ± 0.1 m) by 3 earthquakes found in nearby trench.</t>
  </si>
  <si>
    <t>Fraser (2005)</t>
  </si>
  <si>
    <t>Fraser, J.G. 2005. Paleoseismic investigation of the Waimea-Flaxmore Fault System, Nelson Region. MSc Thesis, University of Canterbury. 210 pp.</t>
  </si>
  <si>
    <t>Maruia Terrace 1</t>
  </si>
  <si>
    <t>3.7 (2.3-6)</t>
  </si>
  <si>
    <t>7.2 (5.4-10.2)</t>
  </si>
  <si>
    <t>Hope: Hurunui</t>
  </si>
  <si>
    <t>8.2 (6.5-10.4)</t>
  </si>
  <si>
    <t>Zinke et al. (submitted 2021)</t>
  </si>
  <si>
    <t>11.9 +1.0/-0.8</t>
  </si>
  <si>
    <t>10.1 +0.8/-0.6</t>
  </si>
  <si>
    <t>9.6 +0.6/-0.5</t>
  </si>
  <si>
    <t>9.0 +0.6/-0.5</t>
  </si>
  <si>
    <t>8.6 ± 0.5</t>
  </si>
  <si>
    <t>15 ± 1.5</t>
  </si>
  <si>
    <t>25 ± 2</t>
  </si>
  <si>
    <t>3.07 +0.61/-0.49</t>
  </si>
  <si>
    <t>3.07-0</t>
  </si>
  <si>
    <t>4.07 +1.9/-0.9</t>
  </si>
  <si>
    <t>4.9 (3.7-6.4)</t>
  </si>
  <si>
    <t>&gt;1.6</t>
  </si>
  <si>
    <t>6.1 (3.9-8.5)</t>
  </si>
  <si>
    <t>11.9 +1/-0.8 to 11.1± 1.1</t>
  </si>
  <si>
    <t>11.1 ± 0.7 to 10.1 +0.8/-0.6</t>
  </si>
  <si>
    <t>10.13 +0.8/-0.6 to 9.6 +0.6/-0.5</t>
  </si>
  <si>
    <t>9.6 +0.6/-0.5 to 9.0 +0.6/-0.5</t>
  </si>
  <si>
    <t>9.0 +0.6/-0.5 to 8.6 ± 0.5</t>
  </si>
  <si>
    <t>8.6 ± 0.5 to 4.1 +1.9/-0.9</t>
  </si>
  <si>
    <t>6.8 (4.4-7.5)</t>
  </si>
  <si>
    <t>8.7 (8.2-9)</t>
  </si>
  <si>
    <t>6.3 (5.4-7.5)</t>
  </si>
  <si>
    <t>7 (5.9-7.5)</t>
  </si>
  <si>
    <t>6.5 (4-7.6)</t>
  </si>
  <si>
    <t>5.4 (4.3-7.3)</t>
  </si>
  <si>
    <t>6.9 (5.8-8.7)</t>
  </si>
  <si>
    <t>6.9 (4.7-8.7)</t>
  </si>
  <si>
    <t>7.2 (6.4-8.1)</t>
  </si>
  <si>
    <t>6.5 (5.7-7.5)</t>
  </si>
  <si>
    <t>3.6 (3-4.8)</t>
  </si>
  <si>
    <t>7.5 (6.3-7.5)</t>
  </si>
  <si>
    <t>8 (7-9.1)</t>
  </si>
  <si>
    <t>Assume RL SED = Net SED</t>
  </si>
  <si>
    <t>Measured from progressive back-slipping of LiDAR. Visually estimated preferred, min and max.</t>
  </si>
  <si>
    <t>Zinke et al. (2021)</t>
  </si>
  <si>
    <t>Measured from progressive back-slipping of LiDAR. Visually estimated preferred, min and max. In smallest COPD group so inferred to be displacement in LE.</t>
  </si>
  <si>
    <t>Unnamed</t>
  </si>
  <si>
    <t>Glenstrae (1)</t>
  </si>
  <si>
    <t>Glenstrae (2)</t>
  </si>
  <si>
    <t>Glenstrae (3)</t>
  </si>
  <si>
    <t>Glenstrae (4)</t>
  </si>
  <si>
    <t>Birches 1 (a)</t>
  </si>
  <si>
    <t>Birches 1 (b)</t>
  </si>
  <si>
    <t>Birches 3 (a)</t>
  </si>
  <si>
    <t>Birches 3 (b)</t>
  </si>
  <si>
    <t>Oaro left bank 1 (a)</t>
  </si>
  <si>
    <t>Oaro left bank 1 (b)</t>
  </si>
  <si>
    <t>Oaro left bank 1 (c)</t>
  </si>
  <si>
    <t>Oaro left bank 1 (d)</t>
  </si>
  <si>
    <t>Oaro left bank 1 (e)</t>
  </si>
  <si>
    <t>Oaro left bank 2 (a)</t>
  </si>
  <si>
    <t>Oaro left bank 2 (b)</t>
  </si>
  <si>
    <t>Oaro left bank 3 (a)</t>
  </si>
  <si>
    <t>Oaro left bank 3 (b)</t>
  </si>
  <si>
    <t>Oaro left bank 3 (c)</t>
  </si>
  <si>
    <t>Oaro left bank 4 (a)</t>
  </si>
  <si>
    <t>Oaro left bank 4 (b)</t>
  </si>
  <si>
    <r>
      <t>Nicol, A.; Khajavi, N.; Pettinga, J.R.; Fenton, C.; Stahl, T.; Bannister, S.; Pedley, K.; Hyland-Brock, N.; Bushell, T.; Hamling, I.J.; Ristau, J.; Noble, D.; McColl, S.T.</t>
    </r>
    <r>
      <rPr>
        <sz val="10"/>
        <rFont val="Verdana"/>
        <family val="2"/>
      </rPr>
      <t> </t>
    </r>
    <r>
      <rPr>
        <sz val="10"/>
        <rFont val="Calibri"/>
        <family val="2"/>
        <scheme val="minor"/>
      </rPr>
      <t>2018 Preliminary geometry, displacement, and kinematics of fault ruptures in the epicentral region of the 2016 </t>
    </r>
    <r>
      <rPr>
        <i/>
        <sz val="10"/>
        <rFont val="Calibri"/>
        <family val="2"/>
        <scheme val="minor"/>
      </rPr>
      <t>M</t>
    </r>
    <r>
      <rPr>
        <i/>
        <vertAlign val="subscript"/>
        <sz val="10"/>
        <rFont val="Calibri"/>
        <family val="2"/>
        <scheme val="minor"/>
      </rPr>
      <t>w</t>
    </r>
    <r>
      <rPr>
        <sz val="10"/>
        <rFont val="Calibri"/>
        <family val="2"/>
        <scheme val="minor"/>
      </rPr>
      <t> 7.8 Kaikoura, New Zealand, earthquake.</t>
    </r>
    <r>
      <rPr>
        <i/>
        <sz val="10"/>
        <rFont val="Calibri"/>
        <family val="2"/>
        <scheme val="minor"/>
      </rPr>
      <t> Bulletin of the Seismological Society of America, 108(3B): </t>
    </r>
    <r>
      <rPr>
        <sz val="10"/>
        <rFont val="Calibri"/>
        <family val="2"/>
        <scheme val="minor"/>
      </rPr>
      <t>1521-1539; doi: 10.1785/0120170329</t>
    </r>
  </si>
  <si>
    <t>Lensen, G.J.; Otway, P.M. 1971 Earthshift and post-earthshift deformation associated with the May 1968 Inangahua earthquake, New Zealand. p. 107-116 IN: Collins, B.W.; Fraser, R. (eds.) Recent crustal movements. Wellington: Royal Society of New Zealand. Bulletin / Royal Society of New Zealand 9.</t>
  </si>
  <si>
    <t>Berryman et al. (2012b)</t>
  </si>
  <si>
    <r>
      <t>Hull, A.G. 1990 Tectonics of the 1931 Hawke's Bay earthquake. </t>
    </r>
    <r>
      <rPr>
        <i/>
        <sz val="10"/>
        <rFont val="Calibri"/>
        <family val="2"/>
        <scheme val="minor"/>
      </rPr>
      <t>New Zealand Journal of Geology and Geophysics, 33(2): </t>
    </r>
    <r>
      <rPr>
        <sz val="10"/>
        <rFont val="Calibri"/>
        <family val="2"/>
        <scheme val="minor"/>
      </rPr>
      <t>309-320</t>
    </r>
  </si>
  <si>
    <r>
      <t>Grapes, R.; Little, T.; Downes, G.L.</t>
    </r>
    <r>
      <rPr>
        <sz val="10"/>
        <color rgb="FF003300"/>
        <rFont val="Calibri"/>
        <family val="2"/>
        <scheme val="minor"/>
      </rPr>
      <t> 1998 Rupturing of the Awatere Fault during the 1848 October 16 Marlborough earthquake, New Zealand: historical and present day evidence.</t>
    </r>
    <r>
      <rPr>
        <i/>
        <sz val="10"/>
        <color rgb="FF003300"/>
        <rFont val="Calibri"/>
        <family val="2"/>
        <scheme val="minor"/>
      </rPr>
      <t> New Zealand Journal of Geology and Geophysics, 41(4): </t>
    </r>
    <r>
      <rPr>
        <sz val="10"/>
        <color rgb="FF003300"/>
        <rFont val="Calibri"/>
        <family val="2"/>
        <scheme val="minor"/>
      </rPr>
      <t>387-399; doi: 10.1080/00288306.1998.9514818</t>
    </r>
  </si>
  <si>
    <t>Mason and Little (2006)</t>
  </si>
  <si>
    <t>Beaupêtre et al. (2012)</t>
  </si>
  <si>
    <t>Manighetti et al. (2015)</t>
  </si>
  <si>
    <r>
      <t>Langridge, R.M.; Almond, P.C.; Duncan, R.P. 2013 Timing of late Holocene paleoearthquakes on the Hurunui segment of the Hope fault: implications for plate boundary strain release through South Island, New Zealand.</t>
    </r>
    <r>
      <rPr>
        <i/>
        <sz val="10"/>
        <rFont val="Calibri"/>
        <family val="2"/>
        <scheme val="minor"/>
      </rPr>
      <t> Geological Society of America Bulletin, 125(5-6): </t>
    </r>
    <r>
      <rPr>
        <sz val="10"/>
        <rFont val="Calibri"/>
        <family val="2"/>
        <scheme val="minor"/>
      </rPr>
      <t>756-776; doi: 10.1130/B30674.1</t>
    </r>
  </si>
  <si>
    <t>Langridge et al. (2018b)</t>
  </si>
  <si>
    <t>&gt;6 (4-8)</t>
  </si>
  <si>
    <t>0.6 (0.58-0.62)</t>
  </si>
  <si>
    <t>0.11 (0.07-0.15)</t>
  </si>
  <si>
    <t>0.09 (0.07-0.11)</t>
  </si>
  <si>
    <t>&gt;0.72 (0.66-0.78)</t>
  </si>
  <si>
    <t>&lt;7.8 (5.9-9.7)</t>
  </si>
  <si>
    <t>3.4 (1.6-7.4)</t>
  </si>
  <si>
    <t>2.6 (0.9-5.4)</t>
  </si>
  <si>
    <t>13.5 (8.1-30.6)</t>
  </si>
  <si>
    <t>0.6 (0.1-2.4)</t>
  </si>
  <si>
    <t>15.2 (9-38.3)</t>
  </si>
  <si>
    <t>4.7 (3.1-9.9)</t>
  </si>
  <si>
    <t>9.7 (8.5-12.5)</t>
  </si>
  <si>
    <t>&gt;4 (3-5)</t>
  </si>
  <si>
    <t>&gt;4.5 (4-5)</t>
  </si>
  <si>
    <t>&gt;3.4 (2.4-4.4)</t>
  </si>
  <si>
    <t>&gt;3.5 (2.5-4.5)</t>
  </si>
  <si>
    <t>DS SED calculated from vertical and horizontal SEDs</t>
  </si>
  <si>
    <t>1.25 (0.5-2)</t>
  </si>
  <si>
    <t>Calculated using the vertical separation across fault two and and H:V ration of 1:2-1:3. Preferred is midpoint of range.</t>
  </si>
  <si>
    <t>5.5 (4.5-6.5)</t>
  </si>
  <si>
    <t>2.8 (2.6-3.0)</t>
  </si>
  <si>
    <t>1.7 (1.2-2.2)</t>
  </si>
  <si>
    <t>5.5 (3.5-7.5)</t>
  </si>
  <si>
    <t>3.3 (0.7-5.9)</t>
  </si>
  <si>
    <t>Converted to DS using CFM dip and assigned uncertainty of ± 0.5 m.</t>
  </si>
  <si>
    <t>1.7 (1.0-2.4)</t>
  </si>
  <si>
    <r>
      <rPr>
        <sz val="10"/>
        <color theme="1"/>
        <rFont val="Calibri"/>
        <family val="2"/>
      </rPr>
      <t>≥</t>
    </r>
    <r>
      <rPr>
        <sz val="10"/>
        <color theme="1"/>
        <rFont val="Calibri"/>
        <family val="2"/>
        <scheme val="minor"/>
      </rPr>
      <t>8.1 (4.6-11.6)</t>
    </r>
  </si>
  <si>
    <t>≥8.4 (8-8.8)</t>
  </si>
  <si>
    <t>≥7.0 (4-10)</t>
  </si>
  <si>
    <t>≥9.1 8.6-9.6)</t>
  </si>
  <si>
    <t>≥9.4 (9-9.8)</t>
  </si>
  <si>
    <t>≥11.3 (7.5-15.1)</t>
  </si>
  <si>
    <t>≥7.5 (7.1-7.9)</t>
  </si>
  <si>
    <t>≥7.7 (7-8.4)</t>
  </si>
  <si>
    <t>≥9.7 (9.1-10.3)</t>
  </si>
  <si>
    <t>≥6.2 (5.6-6.8)</t>
  </si>
  <si>
    <t>≥9.7 (9.2-10.9)</t>
  </si>
  <si>
    <t>≥9.8 (9.2-10.4)</t>
  </si>
  <si>
    <t>≥10.8 (10.4-11.2)</t>
  </si>
  <si>
    <t>≥6.7 (6.2-7.2)</t>
  </si>
  <si>
    <t>≥11.4 (10.7-12.1)</t>
  </si>
  <si>
    <t>≥10.2 (9.5-10.9)</t>
  </si>
  <si>
    <t>≥9.7 (8.9-10.5)</t>
  </si>
  <si>
    <t>≥9.0 (8.6-9.4)</t>
  </si>
  <si>
    <t>≥9.1 (8.7-9.5)</t>
  </si>
  <si>
    <t>≥8.0 (7.6-8.4)</t>
  </si>
  <si>
    <t>≥6.0 (4-8)</t>
  </si>
  <si>
    <t>≥8.5 (6.5-10.5)</t>
  </si>
  <si>
    <t>≥6.9 (5.6-8.2)</t>
  </si>
  <si>
    <t>≥7.0 (5-9)</t>
  </si>
  <si>
    <t>≥8.9 (8.5-9.3)</t>
  </si>
  <si>
    <t>≥7.5 (6.7-8.3)</t>
  </si>
  <si>
    <t>≥8.9 (7.2-10.6)</t>
  </si>
  <si>
    <t>≥7.1 (6.3-7.9)</t>
  </si>
  <si>
    <t>≥9.2 (8.7-9.7)</t>
  </si>
  <si>
    <t>≥8.7 (6.4-11)</t>
  </si>
  <si>
    <t>≥4.6 (2.6-6.6)</t>
  </si>
  <si>
    <t>≥5.5 (3.5-7.5)</t>
  </si>
  <si>
    <t>≥8.0 (6-10)</t>
  </si>
  <si>
    <t>≥10.8 (7.6-14)</t>
  </si>
  <si>
    <t>≥9.7 (7.5-11.9)</t>
  </si>
  <si>
    <t>≥10.9 (10-11.8)</t>
  </si>
  <si>
    <t>≥5.0 (3-7)</t>
  </si>
  <si>
    <t>≥4.2 (3.8-4.6)</t>
  </si>
  <si>
    <t>≥10.5 (7.5-13.5)</t>
  </si>
  <si>
    <t>≥5.5 (2.1-8.9)</t>
  </si>
  <si>
    <t>≥10.6 (7.6-13.6)</t>
  </si>
  <si>
    <t>≥2.7 (1.7-3.7)</t>
  </si>
  <si>
    <t>≥9.5 (9.1-9.9)</t>
  </si>
  <si>
    <t>≥8.6 (5.6-11.6)</t>
  </si>
  <si>
    <t>≥8.0 (6.7-9.3)</t>
  </si>
  <si>
    <t>≥9.8 (9.4-10.2)</t>
  </si>
  <si>
    <t>≥6.6 (4.6-8.6)</t>
  </si>
  <si>
    <t>≥5.8 (3.8-7.8)</t>
  </si>
  <si>
    <t>≥7.3 (6.9-7.7)</t>
  </si>
  <si>
    <t>≥7.6 (7.2-8)</t>
  </si>
  <si>
    <t>≥5.8 (4.8-6.8)</t>
  </si>
  <si>
    <t>≥3.5 (3.1-3.9)</t>
  </si>
  <si>
    <t>≥2.1 (1.7-2.5)</t>
  </si>
  <si>
    <t>≥3.7 (2.9-4.5)</t>
  </si>
  <si>
    <t>≥3.4 (3-3.8)</t>
  </si>
  <si>
    <t>&gt;1.2 (0.7-1.7)</t>
  </si>
  <si>
    <t>&gt;2.0 (1.5-2.5)</t>
  </si>
  <si>
    <t>&gt;2.5 (2-3)</t>
  </si>
  <si>
    <t>&gt;2.4 (1.9-2.9)</t>
  </si>
  <si>
    <t>&gt;1.0 (0.6-1.4)</t>
  </si>
  <si>
    <t>&gt;1.75 (1.35-2.15)</t>
  </si>
  <si>
    <t>&gt;2.4 (2-2.8)</t>
  </si>
  <si>
    <t>&gt;2.1 (1.7-2.5)</t>
  </si>
  <si>
    <t>&gt;2.5 (2.1-2.9)</t>
  </si>
  <si>
    <t>&gt;1.5 (1.1-1.9)</t>
  </si>
  <si>
    <t>&gt;2.2 (1.8-2.6)</t>
  </si>
  <si>
    <t>0.95  ± 0.25
&lt;1.05 ± 0.1</t>
  </si>
  <si>
    <t>Calculated using a dip of 80 ± 10.</t>
  </si>
  <si>
    <t>Wire fence, alluvial plains surface</t>
  </si>
  <si>
    <t>2010 Darfield Earthquake rupture. Measured from RTK profiles (RL) and LiDAR data (V).</t>
  </si>
  <si>
    <t>0.9 ± 0.25
&lt;1.6 ± 0.1</t>
  </si>
  <si>
    <t>Minimum because RL SED a minimum.</t>
  </si>
  <si>
    <t>1.1 ± 0.2
0.6 ± 0.3</t>
  </si>
  <si>
    <t>1.3 ± 0.25
0.55 ± 0.2</t>
  </si>
  <si>
    <t>0.7 ± 0.25
&lt;1.05 ± 0.1</t>
  </si>
  <si>
    <t>1 ± 0.25
&gt;0.05 ± 0.1</t>
  </si>
  <si>
    <t>1.2 ± 0.2
0.55 ± 0.45</t>
  </si>
  <si>
    <t>&lt;1.95 ± 0.4
&lt;1.45 ± 0.1</t>
  </si>
  <si>
    <t>Crop row/plough line, alluvial plains surface</t>
  </si>
  <si>
    <t>1.65 ± 0.2
&lt;1.6 ± 0.1</t>
  </si>
  <si>
    <t>&gt;1.15 ± 0.5
0.75 ± 0.55</t>
  </si>
  <si>
    <t>Power poles, alluvial plains surface</t>
  </si>
  <si>
    <t>2010 Darfield Earthquake rupture. Measured using orthophoto (RL) and LiDAR data (V).</t>
  </si>
  <si>
    <t>1.9 ± 0.5
0.4 ± 0.2</t>
  </si>
  <si>
    <t>Plough line, alluvial plains surface</t>
  </si>
  <si>
    <t>1.7 ± 0.3
&lt;0.3 ± 0.1</t>
  </si>
  <si>
    <t>Gorse hedge/wire fence, alluvial plains surface</t>
  </si>
  <si>
    <t>3.1 ± 0.6
0.25 ± 0.2</t>
  </si>
  <si>
    <t>&gt;3.2 ± 0.25
0.2 ± 0.2</t>
  </si>
  <si>
    <t>&gt;2.8 ± 0.25
0.3 ± 0.2</t>
  </si>
  <si>
    <t>2.85 ± 0.3
0.35 ± 0.25</t>
  </si>
  <si>
    <t>&gt;3.1 ± 0.25</t>
  </si>
  <si>
    <t>3.1 ± 0.25
0.15 ± 0.15</t>
  </si>
  <si>
    <t>3.6 ± 0.75
&lt;0.65 ± 0.1</t>
  </si>
  <si>
    <t>3 ± 0.75
0.5 ± 0.2</t>
  </si>
  <si>
    <t>4.3 ± 0.3
0.3 ± 0.15</t>
  </si>
  <si>
    <t>&gt;2.2 ± 1
0.3 ± 0.25</t>
  </si>
  <si>
    <t>4.2 ± 0.15
0.6 ± 0.25</t>
  </si>
  <si>
    <t>3.6 ± 1
0.8 ± 0.25</t>
  </si>
  <si>
    <t>4.4  ± 0.4
0.3 ± 0.2</t>
  </si>
  <si>
    <t>&gt;4.8 ± 0.75
0.85 ± 0.2</t>
  </si>
  <si>
    <t>Drain, alluvial plains surface</t>
  </si>
  <si>
    <t>4.3 ± 0.25
1.15 ± 0.2</t>
  </si>
  <si>
    <t>4.2 ± 0.25
0.4 ± 0.2</t>
  </si>
  <si>
    <t>4.2  ± 0.5
0.4 ± 0.2</t>
  </si>
  <si>
    <t>Old fence line, alluvial plains surface</t>
  </si>
  <si>
    <t>5 ± 0.75
0.95 ± 0.9</t>
  </si>
  <si>
    <t>&gt;4.15 ± 0.5
0.6 ± 0.2</t>
  </si>
  <si>
    <t>&gt;3.8 ± 0.5
1.1 ± 0.2</t>
  </si>
  <si>
    <t>4.8 ± 0.25
0.65 ± 0.65</t>
  </si>
  <si>
    <t>&gt;4.6 ± 0.4
0.2 ± 0.15</t>
  </si>
  <si>
    <t>&lt;4.6 ± 0.3
0.15 ± 0.1</t>
  </si>
  <si>
    <t>&gt;3.3 ± 0.5
0.6 ± 0.35</t>
  </si>
  <si>
    <t>Hedge, alluvial plains surface</t>
  </si>
  <si>
    <t>&gt;3.3 ± 0.3
0.5 ± 0.3</t>
  </si>
  <si>
    <t>4.1 ± 0.4
0.6 ± 0.3</t>
  </si>
  <si>
    <t>Crop / plough line, alluvial plains surface</t>
  </si>
  <si>
    <t>5.2 ± 0.75
0.65 ± 0.2</t>
  </si>
  <si>
    <t>Fence / crop line, alluvial plains surface</t>
  </si>
  <si>
    <t>Measured using orthophoto (RL) and LiDAR data (V).</t>
  </si>
  <si>
    <t>&gt;2.4 ± 0.3
0.9 ± 0.2</t>
  </si>
  <si>
    <t>&gt;2.9 ± 0.3
0.5 ± 0.4</t>
  </si>
  <si>
    <t>4.7 ± 0.25
0.45 ± 0.25</t>
  </si>
  <si>
    <t>Fence line, alluvial plains surface</t>
  </si>
  <si>
    <t>&gt;4.65 ± 0.3
0.7 ± 0.7</t>
  </si>
  <si>
    <t>&gt;4.4 ± 0.3
0.9 ± 0.35</t>
  </si>
  <si>
    <t>4.8 ± 0.8
1.3 ± 0.2</t>
  </si>
  <si>
    <t>&gt;1.35 ± 0.2
1.2 ± 0.2</t>
  </si>
  <si>
    <t>&gt;3.6 ± 0.2
0.48 ± 0.2</t>
  </si>
  <si>
    <t>5 ± 0.6
0.65 ± 0.25</t>
  </si>
  <si>
    <t>2010 Darfield Earthquake rupture. Measured using orthophoto and RTK profile (RL) and LiDAR data (V).</t>
  </si>
  <si>
    <t>4.95 ± 0.2
0.43 ± 0.3</t>
  </si>
  <si>
    <t>4.6 ± 1
0.65 ± 0.6</t>
  </si>
  <si>
    <t>Tyre tracks, alluvial plains surface</t>
  </si>
  <si>
    <t>4.1 ± 0.4
0.95 ± 0.8</t>
  </si>
  <si>
    <t>4.8 ± 0.4
&lt;1.2 ± 0.1</t>
  </si>
  <si>
    <t>&gt;4.2 ± 0.4
0.35 ± 0.2</t>
  </si>
  <si>
    <t>&gt;2.75 ± 0.4
0.35 ± 0.2</t>
  </si>
  <si>
    <t>4.4 ± 0.5
0.3 ± 0.3</t>
  </si>
  <si>
    <t>Crop row, alluvial plains surface</t>
  </si>
  <si>
    <t>3.9 ± 0.3
0.45 ± 0.45</t>
  </si>
  <si>
    <t>Maximum because RL SED a maximum.</t>
  </si>
  <si>
    <t>&gt;4.1 ± 0.6
0.3 ± 0.3</t>
  </si>
  <si>
    <t>&gt;3.6 ± 0.3
0.85 ± 0.3</t>
  </si>
  <si>
    <t>Fence, alluvial plains surface</t>
  </si>
  <si>
    <t>&gt;4.95 ± 0.4
1 ± 0.2</t>
  </si>
  <si>
    <t>4.5 ± 0.2
0.85 ± 0.2</t>
  </si>
  <si>
    <t>&gt;3.9 ± 0.3
0.2 ± 0.2</t>
  </si>
  <si>
    <t>5.3 ± 0.5
0.8 ± 0.3</t>
  </si>
  <si>
    <t>2010 Darfield Earthquake rupture. Measured from RTK profiles (RL) and Lidar Data (V). Preferred value.</t>
  </si>
  <si>
    <t>&gt;2.7 ± 0.5
0.35 ± 0.35</t>
  </si>
  <si>
    <t>2010 Darfield Earthquake rupture. Measured using orthophoto (RL) and Lidar Data (V).</t>
  </si>
  <si>
    <t>&gt;3.1 ± 0.6
0.45 ± 0.45</t>
  </si>
  <si>
    <t>&gt;2.3 ± 0.5
0.05 ± 0.6</t>
  </si>
  <si>
    <t>Crop row / fence line, alluvial plains surface</t>
  </si>
  <si>
    <t>3.5 ± 0.4
1 ± 0.3</t>
  </si>
  <si>
    <t>3.6 ± 0.4</t>
  </si>
  <si>
    <t>3.9 ± 0.6
0 ± 1</t>
  </si>
  <si>
    <t>3.4 ± 0.5
0.2 ± 0.2</t>
  </si>
  <si>
    <t>2.7 ± 1.3
0.5 ± 0.3</t>
  </si>
  <si>
    <t>2.6 ± 0.3
0.55 ± 0.25</t>
  </si>
  <si>
    <t>&gt;2.5 ± 0.25
0.25 ± 0.2</t>
  </si>
  <si>
    <t>3 ± 0.25
0.2 ± 0.3</t>
  </si>
  <si>
    <t>2 ± 0.25
0 ± 0.3</t>
  </si>
  <si>
    <t>2010 Darfield Earthquake rupture. Measured from RTK profiles (RL) and LIDAR data (V). Preferred value.</t>
  </si>
  <si>
    <t>0
0</t>
  </si>
  <si>
    <t>Fence line / drain, alluvial plains surface</t>
  </si>
  <si>
    <t>2010 Darfield Earthquake rupture. V measured from LiDAR data</t>
  </si>
  <si>
    <t>0.6 ± 0.4
0.1 ± 0.1</t>
  </si>
  <si>
    <t>1 ± 0.25
0.25 ± 0.2</t>
  </si>
  <si>
    <t>1.3 ± 0.4
0.25 ± 0.25</t>
  </si>
  <si>
    <t>2010 Darfield Earthquake rupture. Measured from RTK profiles (RL) and LiDAR data (V). Preferred value.</t>
  </si>
  <si>
    <t>&gt;0.35 ± 0.25
0.25 ± 0.2</t>
  </si>
  <si>
    <t>2010 Darfield Earthquake rupture. Measured from RTK profiles (RL) and LIDAR data (V).</t>
  </si>
  <si>
    <t>1.3 ± 0.3
0.5 ± 0.5</t>
  </si>
  <si>
    <t>&gt;1.1 ± 0.25
0.55 ± 0.25</t>
  </si>
  <si>
    <t>1.6 ± 0.3
0.15 ± 0.25</t>
  </si>
  <si>
    <t>1.5 ± 0.3
&gt;0.25 ± 0.1</t>
  </si>
  <si>
    <t>Wire fence / hedge, alluvial plains surface</t>
  </si>
  <si>
    <t>1.1 ± 0.3
0.15 ± 0.15</t>
  </si>
  <si>
    <t>1.1 ± 0.4
0.4 ± 0.35</t>
  </si>
  <si>
    <t>&gt;1.2 ± 0.3
0.4 ± 0.3</t>
  </si>
  <si>
    <t>Wire fence line, alluvial plains surfface</t>
  </si>
  <si>
    <t>&gt;0.7 ± 0.5
0.45 ± 0.25</t>
  </si>
  <si>
    <t>Crop row / wire, alluvial plains surface</t>
  </si>
  <si>
    <t>1 ± 0.25
0.5 ± 0.3</t>
  </si>
  <si>
    <t>1.6 ± 0.4
0.2 ± 0.2</t>
  </si>
  <si>
    <t>1.2 ± 0.3
0.7 ± 0.2</t>
  </si>
  <si>
    <t>1.2 ± 0.3
0.15 ± 0.15</t>
  </si>
  <si>
    <t>Deer fence, alluvial plains surface</t>
  </si>
  <si>
    <t>Road, alluvial plains surface</t>
  </si>
  <si>
    <t>Conway-Charwell</t>
  </si>
  <si>
    <t>Conway 1</t>
  </si>
  <si>
    <t>0.2 ± 0
0 ± 0</t>
  </si>
  <si>
    <t>2016 Kaikōura Earthquake rupture. Measured using tape measure.</t>
  </si>
  <si>
    <t>Nicol et al. (2018)</t>
  </si>
  <si>
    <t>Conway 2</t>
  </si>
  <si>
    <t>0 ± 0
1.25 ± 0.25</t>
  </si>
  <si>
    <t>Conway 3</t>
  </si>
  <si>
    <t>0 ± 0
1.5 ± 0</t>
  </si>
  <si>
    <t>Conway 4</t>
  </si>
  <si>
    <t>0.1 ± 0
0 ± 0</t>
  </si>
  <si>
    <t>Conway 5</t>
  </si>
  <si>
    <t>0 ± 0
0.2 ± 0</t>
  </si>
  <si>
    <t>Conway 6</t>
  </si>
  <si>
    <t>0.2 ± 0.1
0.3 ± 0.1</t>
  </si>
  <si>
    <t>Conway 7</t>
  </si>
  <si>
    <t>0.6 ± 0.1
0.7 ± 0.1</t>
  </si>
  <si>
    <t>2016 Kaikōura Earthquake rupture. Measured using GPS -GeoXH.</t>
  </si>
  <si>
    <t>Conway 8</t>
  </si>
  <si>
    <t>Conway 9</t>
  </si>
  <si>
    <t>0 ± 0
1.2 ± 0.1</t>
  </si>
  <si>
    <t>Conway 10</t>
  </si>
  <si>
    <t>Conway 11</t>
  </si>
  <si>
    <t>Conway 12</t>
  </si>
  <si>
    <t>0 ± 0
0.6 ± 0.05</t>
  </si>
  <si>
    <t>Conway 13</t>
  </si>
  <si>
    <t>0.4 ± 0.05
0.4 ± 0.05</t>
  </si>
  <si>
    <t>Conway 14</t>
  </si>
  <si>
    <t>0.45 ± 0.1</t>
  </si>
  <si>
    <t>Marsh edge</t>
  </si>
  <si>
    <t>Conway 15</t>
  </si>
  <si>
    <t>0.15 ± 0.1
1.2 ± 0.1</t>
  </si>
  <si>
    <t>Conway 16</t>
  </si>
  <si>
    <t>track</t>
  </si>
  <si>
    <t>Conway 17</t>
  </si>
  <si>
    <t>Conway 18</t>
  </si>
  <si>
    <t>0.25 ± 0.05
0.45 ± 0.05</t>
  </si>
  <si>
    <t>Conway 19</t>
  </si>
  <si>
    <t>Conway 20</t>
  </si>
  <si>
    <t>0.2 ± 0.1
0.4 ± 0.1</t>
  </si>
  <si>
    <t>Conway 21</t>
  </si>
  <si>
    <t>0.5 ± 0.1
1.4 ± 0.15</t>
  </si>
  <si>
    <t>Conway 22</t>
  </si>
  <si>
    <t>0.5 ± 0.05
0.3 ± 0.05</t>
  </si>
  <si>
    <t>2016 Kaikōura Earthquake rupture. Measured using RTK.</t>
  </si>
  <si>
    <t>Leader: Central</t>
  </si>
  <si>
    <t>70 ± 15</t>
  </si>
  <si>
    <t>Leader 7</t>
  </si>
  <si>
    <t>1.7 ± 0.1
0.6 ± 0.1</t>
  </si>
  <si>
    <t>Leader 18</t>
  </si>
  <si>
    <t>1.4 ± 0.1
0.6 ± 0.05</t>
  </si>
  <si>
    <t>2016 Kaikōura Earthquake rupture. Measured using tape measure and GPS-GeoXH.</t>
  </si>
  <si>
    <t>Leader 27</t>
  </si>
  <si>
    <t>0.24 ± 0.1
0.35 ± 0.1</t>
  </si>
  <si>
    <t>Water tank</t>
  </si>
  <si>
    <t>Leader 28</t>
  </si>
  <si>
    <t>0.1 ± 0.1
0.8 ± 0.05</t>
  </si>
  <si>
    <t>Leader 29</t>
  </si>
  <si>
    <t>0.1 ± 0.05
0.2 ± 0.05</t>
  </si>
  <si>
    <t>Leader 20</t>
  </si>
  <si>
    <t>0.45 ± 0.05
0.3 ± 0.1</t>
  </si>
  <si>
    <t>Leader 21</t>
  </si>
  <si>
    <t>0.5 ± 0.1
0.2 ± 0.05</t>
  </si>
  <si>
    <t>Leader 22</t>
  </si>
  <si>
    <t>0.7 ± 0.2
1.1 ± 0.1</t>
  </si>
  <si>
    <t>Leader: South</t>
  </si>
  <si>
    <t>Leader 1</t>
  </si>
  <si>
    <t>1.0 ± 0.05
0.35 ± 0.1</t>
  </si>
  <si>
    <t>2016 Kaikōura Earthquake rupture. Measured using tape measure and LiDAR data.</t>
  </si>
  <si>
    <t>Leader 16</t>
  </si>
  <si>
    <t>1.1 ± 0.15
0.7 ± 0.1</t>
  </si>
  <si>
    <t>Leader 17</t>
  </si>
  <si>
    <t>2.7 ± 0.2
0.8 ± 0.1</t>
  </si>
  <si>
    <t>South Leader</t>
  </si>
  <si>
    <t>Leader 2</t>
  </si>
  <si>
    <t>0.5 ± 0.1
0.2 ± 0.02</t>
  </si>
  <si>
    <t>Leader 4</t>
  </si>
  <si>
    <t>0.1 ± 0.05
0.4 ± 0.05</t>
  </si>
  <si>
    <t>Leader 5</t>
  </si>
  <si>
    <t>0.7 ± 0.1
0.5 ± 0.1</t>
  </si>
  <si>
    <t>Leader 6</t>
  </si>
  <si>
    <t>1.2 ± 0.1
0.3 ± 0.1</t>
  </si>
  <si>
    <t>Leader 10</t>
  </si>
  <si>
    <t>0.17 ± 0.05
0.2 ± 0.05</t>
  </si>
  <si>
    <t>Leader 11</t>
  </si>
  <si>
    <t>0.14 ± 0.05
0.17 ± 0.05</t>
  </si>
  <si>
    <t>Leader 12</t>
  </si>
  <si>
    <t>1.65 ± 0.1
1 ± 0.1</t>
  </si>
  <si>
    <t>Leader 23</t>
  </si>
  <si>
    <t>1.3 ± 0.15
0.8 ± 0.1</t>
  </si>
  <si>
    <t>Leader 24</t>
  </si>
  <si>
    <t>0.45 ± 0.05
0.35 ± 0.05</t>
  </si>
  <si>
    <t>Leader 25</t>
  </si>
  <si>
    <t>0.8 ± 0.4
0.5 ± 0.15</t>
  </si>
  <si>
    <t>Drainage ditch</t>
  </si>
  <si>
    <t>Leader 26</t>
  </si>
  <si>
    <t>1.6 ± 0.1
1.95 ± 0.05</t>
  </si>
  <si>
    <t>Leader 30</t>
  </si>
  <si>
    <t>2.1 ± 0.1
3.1 ± 0.1</t>
  </si>
  <si>
    <t>Leader 31</t>
  </si>
  <si>
    <t>2.1 ± 0.2
1.65 ± 0.1</t>
  </si>
  <si>
    <t>Leader 32</t>
  </si>
  <si>
    <t>2.5 ± 0.15
2.5 ± 0.15</t>
  </si>
  <si>
    <t>Leader 33</t>
  </si>
  <si>
    <t>2.6 ± 0.15
3.4 ± 0.15</t>
  </si>
  <si>
    <t>Leader 34</t>
  </si>
  <si>
    <t>1.8 ± 0.15
2.4 ± 0.15</t>
  </si>
  <si>
    <t>Leader 35</t>
  </si>
  <si>
    <t>1.1 ± 0.1
1.5 ± 0.1</t>
  </si>
  <si>
    <t>Leader 36</t>
  </si>
  <si>
    <t>Leader 37</t>
  </si>
  <si>
    <t>0.07 ± 0.03
0.2 ± 0.05</t>
  </si>
  <si>
    <t>Leader 38</t>
  </si>
  <si>
    <t>0.2 ± 0.05
0.4 ± 0.1</t>
  </si>
  <si>
    <t>Crop edge</t>
  </si>
  <si>
    <t>Leader 40</t>
  </si>
  <si>
    <t>0.1 ± 0.05
0.6 ± 0.1</t>
  </si>
  <si>
    <t>Leader 41</t>
  </si>
  <si>
    <t>0.1 ± 0.05
0.8 ± 0.1</t>
  </si>
  <si>
    <t>Leader 42</t>
  </si>
  <si>
    <t>2.2 ± 0.15
1.0 ± 0.1</t>
  </si>
  <si>
    <t>Leader 43</t>
  </si>
  <si>
    <t>1.65 ± 0.1
1.7 ± 0.1</t>
  </si>
  <si>
    <t>Leader 44</t>
  </si>
  <si>
    <t>0.08 ± 0.05
0.8 ± 0.1</t>
  </si>
  <si>
    <t>Leader 45</t>
  </si>
  <si>
    <t>1.2 ± 0.1
0.6 ± 0.05</t>
  </si>
  <si>
    <t>Stone Jug</t>
  </si>
  <si>
    <t>StoneJug</t>
  </si>
  <si>
    <t>Stone Jug 1</t>
  </si>
  <si>
    <t>0.7 ± 0.1
0.3 ± 0.1</t>
  </si>
  <si>
    <t>Stone Jug 2</t>
  </si>
  <si>
    <t>0.1 ± 0.05
0.1 ± 0.1</t>
  </si>
  <si>
    <t>Stone Jug 3</t>
  </si>
  <si>
    <t>0.2 ± 0.05
0.15 ± 0.05</t>
  </si>
  <si>
    <t>Stone Jug 4</t>
  </si>
  <si>
    <t>0.15 ± 0.05
0.1 ± 0.05</t>
  </si>
  <si>
    <t>Stone Jug 5</t>
  </si>
  <si>
    <t>0.35 ± 0.05
0.25 ± 0.05</t>
  </si>
  <si>
    <t>The Humps East</t>
  </si>
  <si>
    <t>Humps 22</t>
  </si>
  <si>
    <t>Humps 34</t>
  </si>
  <si>
    <t>2.1 ± 0.2
0.8 ± 0.2</t>
  </si>
  <si>
    <t>Humps 35</t>
  </si>
  <si>
    <t>1.76 ± 0.1
0.5 ± 0.05</t>
  </si>
  <si>
    <t>Humps 36</t>
  </si>
  <si>
    <t>1.8 ± 0.2
0.6 ± 0.1</t>
  </si>
  <si>
    <t>Humps 37</t>
  </si>
  <si>
    <t>Humps 43</t>
  </si>
  <si>
    <t>1.76 ± 0.1
0.85 ± 0.05</t>
  </si>
  <si>
    <t>Humps 46</t>
  </si>
  <si>
    <t>0.6 ± 0.1
0.2 ± 0.1</t>
  </si>
  <si>
    <t>Humps 47</t>
  </si>
  <si>
    <t>0.7 ± 0.1
0.45 ± 0.1</t>
  </si>
  <si>
    <t>Humps 48</t>
  </si>
  <si>
    <t>0.86 ± 0.05
0.7 ± 0.1</t>
  </si>
  <si>
    <t>Humps 49</t>
  </si>
  <si>
    <t>2.2 ± 0.1
0.6 ± 0.1</t>
  </si>
  <si>
    <t>Humps 50</t>
  </si>
  <si>
    <t>0.7 ± 0.05
0.2 ± 0.05</t>
  </si>
  <si>
    <t>Humps 51</t>
  </si>
  <si>
    <t>1 ± 0.15
0.35 ± 0.05</t>
  </si>
  <si>
    <t>Humps 52</t>
  </si>
  <si>
    <t>0.5 ± 0.1
0.4 ± 0.1</t>
  </si>
  <si>
    <t>Humps 53</t>
  </si>
  <si>
    <t>0.3 ± 0.05
0.1 ± 0.05</t>
  </si>
  <si>
    <t>Humps 54</t>
  </si>
  <si>
    <t>1.2 ± 0.15
0.15 ± 0.05</t>
  </si>
  <si>
    <t>Humps 55</t>
  </si>
  <si>
    <t>0.5 ± 0.1
0.15 ± 0.05</t>
  </si>
  <si>
    <t>Tree line</t>
  </si>
  <si>
    <t>Humps 56</t>
  </si>
  <si>
    <t>0.6 ± 0.1
0.15 ± 0.05</t>
  </si>
  <si>
    <t>Humps 57</t>
  </si>
  <si>
    <t>1.15 ± 0.1
0.4 ± 0.1</t>
  </si>
  <si>
    <t>Humps 58</t>
  </si>
  <si>
    <t>0.2 ± 0.05
0.1 ± 0.05</t>
  </si>
  <si>
    <t>Humps 59</t>
  </si>
  <si>
    <t>0.95 ± 0.15
0.35 ± 0.05</t>
  </si>
  <si>
    <t>Humps 93</t>
  </si>
  <si>
    <t>0.5 ± 0.1
0.08 ± 0.0</t>
  </si>
  <si>
    <t>Humps 94</t>
  </si>
  <si>
    <t>0.7 ± 0.05
0.5 ± 0.1</t>
  </si>
  <si>
    <t>Humps 113</t>
  </si>
  <si>
    <t>0.3 ± 0.05
0.1 ± 0.02</t>
  </si>
  <si>
    <t>Irrigation track</t>
  </si>
  <si>
    <t>Humps 114</t>
  </si>
  <si>
    <t>0.65 ± 0.03
0.3 ± 0.1</t>
  </si>
  <si>
    <t>Humps 115</t>
  </si>
  <si>
    <t>0.47 ± 0.03
0.25 ± 0.02</t>
  </si>
  <si>
    <t>Humps 116</t>
  </si>
  <si>
    <t>0.75 ± 0.05
0.2 ± 0.02</t>
  </si>
  <si>
    <t>Humps 45</t>
  </si>
  <si>
    <t>1.15 ± 0.1
0.7 ± 0.05</t>
  </si>
  <si>
    <t>Humps 73</t>
  </si>
  <si>
    <t>1.2 ± 0.1
0.75 ± 0.05</t>
  </si>
  <si>
    <t>Humps 85</t>
  </si>
  <si>
    <t>1.3 ± 0.1
0.6 ± 0.05</t>
  </si>
  <si>
    <t>Humps 86</t>
  </si>
  <si>
    <t>1.9 ± 0.1
0.7 ± 0.1</t>
  </si>
  <si>
    <t>Humps 91</t>
  </si>
  <si>
    <t>0.9 ± 0.1
0.5 ± 0.05</t>
  </si>
  <si>
    <t>Humps 99</t>
  </si>
  <si>
    <t>2 ± 0.1
1.2 ± 0.1</t>
  </si>
  <si>
    <t>Humps 100</t>
  </si>
  <si>
    <t>3 ± 0.3
1.25 ± 0.25</t>
  </si>
  <si>
    <t>Humps 105</t>
  </si>
  <si>
    <t>0.5 ± 0.05
0.8 ± 0.05</t>
  </si>
  <si>
    <t>Humps 107</t>
  </si>
  <si>
    <t>0.35 ± 0.05
0.5 ± 0.05</t>
  </si>
  <si>
    <t>Humps 108</t>
  </si>
  <si>
    <t>0.5 ± 0.05
0.8 ± 0.2</t>
  </si>
  <si>
    <t>0.45 ± 0.05
1.7 ± 0.7</t>
  </si>
  <si>
    <t>0.63 ± 0.1
0.75 ± 0.25</t>
  </si>
  <si>
    <t>The Humps West</t>
  </si>
  <si>
    <t>Humps 1</t>
  </si>
  <si>
    <t>1.9 ± 0.1
0.2 ± 0.1</t>
  </si>
  <si>
    <t>Humps 2</t>
  </si>
  <si>
    <t>0.8 ± 0.05
0.15 ± 0.05</t>
  </si>
  <si>
    <t>Humps 3</t>
  </si>
  <si>
    <t>0.04 ± 0.01
0.25 ± 0.05</t>
  </si>
  <si>
    <t>Humps 4</t>
  </si>
  <si>
    <t>0.7 ± 0.05
0.1 ± 0.1</t>
  </si>
  <si>
    <t>Humps 5</t>
  </si>
  <si>
    <t>0.35 ± 0.05
0.1 ± 0.03</t>
  </si>
  <si>
    <t>Humps 6</t>
  </si>
  <si>
    <t>0.35 ± 0.02
0.25 ± 0.05</t>
  </si>
  <si>
    <t>Humps 7</t>
  </si>
  <si>
    <t>0.2 ± 0.02
0.05 ± 0.01</t>
  </si>
  <si>
    <t>Humps 8</t>
  </si>
  <si>
    <t>0.9 ± 0.1
0.5 ± 0.1</t>
  </si>
  <si>
    <t>Humps 9</t>
  </si>
  <si>
    <t>0.7 ± 0.1
0.1 ± 0.05</t>
  </si>
  <si>
    <t>Humps 10</t>
  </si>
  <si>
    <t>0.7 ± 0.1
0 ± 0</t>
  </si>
  <si>
    <t>Humps 11</t>
  </si>
  <si>
    <t>0.5 ± 0.05
0 ± 0</t>
  </si>
  <si>
    <t>Humps 12</t>
  </si>
  <si>
    <t>0.85 ± 0.05
0 ± 0</t>
  </si>
  <si>
    <t>Humps 13</t>
  </si>
  <si>
    <t>0.2 ± 0.05
0 ± 0</t>
  </si>
  <si>
    <t>Fence/Track</t>
  </si>
  <si>
    <t>Humps 14</t>
  </si>
  <si>
    <t>0.5 ± 0.05
1 ± 0.1</t>
  </si>
  <si>
    <t>Humps 15</t>
  </si>
  <si>
    <t>0.1 ± 0
0.1 ± 0.05</t>
  </si>
  <si>
    <t>Humps 16</t>
  </si>
  <si>
    <t>1.85 ± 0.1
0.25 ± 0.1</t>
  </si>
  <si>
    <t>Humps 17</t>
  </si>
  <si>
    <t>1 ± 0.1
0.7 ± 0.1</t>
  </si>
  <si>
    <t>Humps 18</t>
  </si>
  <si>
    <t>1.8 ± 0.1
1.2 ± 0.2</t>
  </si>
  <si>
    <t>Humps 19</t>
  </si>
  <si>
    <t>1.9 ± 0.1
1 ± 0.1</t>
  </si>
  <si>
    <t>Humps 20</t>
  </si>
  <si>
    <t>1.5 ± 0.1
0.2 ± 0.05</t>
  </si>
  <si>
    <t>Humps 21</t>
  </si>
  <si>
    <t>0.25 ± 0.1
0.2 ± 0.05</t>
  </si>
  <si>
    <t>Humps 23</t>
  </si>
  <si>
    <t>1.7 ± 0.2
0.3 ± 0.05</t>
  </si>
  <si>
    <t>Humps 24</t>
  </si>
  <si>
    <t>1.6 ± 0.2
0.35 ± 0.05</t>
  </si>
  <si>
    <t>Humps 25</t>
  </si>
  <si>
    <t>0.2 ± 0.02
0.3 ± 0.05</t>
  </si>
  <si>
    <t>Humps 26</t>
  </si>
  <si>
    <t>0.5 ± 0.1
0.3 ± 0.05</t>
  </si>
  <si>
    <t>Humps 27</t>
  </si>
  <si>
    <t>0.15 ± 0.02
0.25 ± 0.05</t>
  </si>
  <si>
    <t>Humps 28</t>
  </si>
  <si>
    <t>0.15 ± 0.02
0.1 ± 0.05</t>
  </si>
  <si>
    <t>Humps 29</t>
  </si>
  <si>
    <t>0.3 ± 0.03
0.1 ± 0.05</t>
  </si>
  <si>
    <t>Humps 30</t>
  </si>
  <si>
    <t>Humps 31</t>
  </si>
  <si>
    <t>1 ± 0.2
0.4 ± 0.1</t>
  </si>
  <si>
    <t>Humps 32</t>
  </si>
  <si>
    <t>0.8 ± 0.05
0.9 ± 0.1</t>
  </si>
  <si>
    <t>Power pole</t>
  </si>
  <si>
    <t>Humps 33</t>
  </si>
  <si>
    <t>0.5 ± 0.05
0.5 ± 0.05</t>
  </si>
  <si>
    <t>Humps 38</t>
  </si>
  <si>
    <t>1 ± 0.1
0.8 ± 0.1</t>
  </si>
  <si>
    <t>Humps 39</t>
  </si>
  <si>
    <t>0.75 ± 0.05
0.6 ± 0.05</t>
  </si>
  <si>
    <t>Humps 40</t>
  </si>
  <si>
    <t>0.95 ± 0.1
0.1 ± 0.05</t>
  </si>
  <si>
    <t>Humps 41</t>
  </si>
  <si>
    <t>0.3 ± 0.03
0.4 ± 0.1</t>
  </si>
  <si>
    <t>Humps 42</t>
  </si>
  <si>
    <t>1.2 ± 0.1
0.2 ± 0.02</t>
  </si>
  <si>
    <t>Humps 44</t>
  </si>
  <si>
    <t>Humps 61</t>
  </si>
  <si>
    <t>1 ± 0.05
0.25 ± 0.05</t>
  </si>
  <si>
    <t>Humps 62</t>
  </si>
  <si>
    <t>1.7 ± 0.1
0.25 ± 0.03</t>
  </si>
  <si>
    <t>Humps 64</t>
  </si>
  <si>
    <t>1.5 ± 0.1
0.6 ± 0.1</t>
  </si>
  <si>
    <t>Humps 65</t>
  </si>
  <si>
    <t>0.75 ± 0.1
0.5 ± 0.05</t>
  </si>
  <si>
    <t>Humps 66</t>
  </si>
  <si>
    <t>Humps 67</t>
  </si>
  <si>
    <t>1.95 ± 0.05
0.2 ± 0.05</t>
  </si>
  <si>
    <t>Humps 68</t>
  </si>
  <si>
    <t>0.7 ± 0.1
0.35 ± 0.05</t>
  </si>
  <si>
    <t>Humps 69</t>
  </si>
  <si>
    <t>0.8 ± 0.1
0.4 ± 0.05</t>
  </si>
  <si>
    <t>Humps 70</t>
  </si>
  <si>
    <t>1.7 ± 0.02
0.5 ± 0.05</t>
  </si>
  <si>
    <t>Humps 71</t>
  </si>
  <si>
    <t>1.7 ± 0.1
0.5 ± 0.05</t>
  </si>
  <si>
    <t>Humps 72</t>
  </si>
  <si>
    <t>1.7 ± 0.1
0.4 ± 0.05</t>
  </si>
  <si>
    <t>Humps 74</t>
  </si>
  <si>
    <t>1.85 ± 0.05
0.75 ± 0.05</t>
  </si>
  <si>
    <t>Humps 75</t>
  </si>
  <si>
    <t>Humps 76</t>
  </si>
  <si>
    <t>1.6 ± 0.1
0.2 ± 0.02</t>
  </si>
  <si>
    <t>Humps 77</t>
  </si>
  <si>
    <t>2 ± 0.2
0.4 ± 0.01</t>
  </si>
  <si>
    <t>Humps 78</t>
  </si>
  <si>
    <t>1.7 ± 0.02
0.4 ± 0.01</t>
  </si>
  <si>
    <t>Humps 79</t>
  </si>
  <si>
    <t>0.8 ± 0.01
0.45 ± 0.05</t>
  </si>
  <si>
    <t>Humps 80</t>
  </si>
  <si>
    <t>0.6 ± 0.05
0.15 ± 0.05</t>
  </si>
  <si>
    <t>Humps 81</t>
  </si>
  <si>
    <t>0.8 ± 0.05
0.25 ± 0.05</t>
  </si>
  <si>
    <t>Humps 82</t>
  </si>
  <si>
    <t>1.1 ± 0.1
0.5 ± 0.05</t>
  </si>
  <si>
    <t>Humps 83</t>
  </si>
  <si>
    <t>0.9 ± 0.1
0.4 ± 0.05</t>
  </si>
  <si>
    <t>Humps 84</t>
  </si>
  <si>
    <t>0.35 ± 0.05
0.3 ± 0.05</t>
  </si>
  <si>
    <t>Humps 87</t>
  </si>
  <si>
    <t>0.4 ± 0.1
0.25 ± 0.05</t>
  </si>
  <si>
    <t>Humps 88</t>
  </si>
  <si>
    <t>1 ± 0.1
0.2 ± 0.05</t>
  </si>
  <si>
    <t>Humps 92</t>
  </si>
  <si>
    <t>0.2 ± 0.0
0.15 ± 0.05</t>
  </si>
  <si>
    <t>Humps 95</t>
  </si>
  <si>
    <t>0.7 ± 0.05
0.3 ± 0.1</t>
  </si>
  <si>
    <t>Humps 96</t>
  </si>
  <si>
    <t>Humps 97</t>
  </si>
  <si>
    <t>Humps 98</t>
  </si>
  <si>
    <t>0.85 ± 0.05
0.2 ± 0.05</t>
  </si>
  <si>
    <t>Humps 101</t>
  </si>
  <si>
    <t>1.8 ± 0.1
2 ± 0.2</t>
  </si>
  <si>
    <t>Humps 102</t>
  </si>
  <si>
    <t>0.8 ± 0.1
0.15 ± 0.05</t>
  </si>
  <si>
    <t>Humps 103</t>
  </si>
  <si>
    <t>0.25 ± 0.05
0.1 ± 0.05</t>
  </si>
  <si>
    <t>Humps 104</t>
  </si>
  <si>
    <t>0.25 ± 0.05
0.2 ± 0.05</t>
  </si>
  <si>
    <t>Humps 106</t>
  </si>
  <si>
    <t>Humps 109</t>
  </si>
  <si>
    <t>0.5 ± 0.05
0.6 ± 0.05</t>
  </si>
  <si>
    <t>Humps 110</t>
  </si>
  <si>
    <t>0.6 ± 0.1
0.5 ± 0.1</t>
  </si>
  <si>
    <t>Humps 111</t>
  </si>
  <si>
    <t>0.8 ± 0.1
0.8 ± 0.1</t>
  </si>
  <si>
    <t>Sheep track</t>
  </si>
  <si>
    <t>Humps 112</t>
  </si>
  <si>
    <t>0.6 ± 0.1
0.2 ± 0.02</t>
  </si>
  <si>
    <t>Humps 117</t>
  </si>
  <si>
    <t>0.25 ± 0.1
0.2 ± 0.1</t>
  </si>
  <si>
    <t>Humps 118</t>
  </si>
  <si>
    <t>0.45 ± 0.1
0.3 ± 0.1</t>
  </si>
  <si>
    <t>Humps 119</t>
  </si>
  <si>
    <t>0.25 ± 0.1
0.6 ± 0.1</t>
  </si>
  <si>
    <t>&lt;1.5 (1.2-1.8)</t>
  </si>
  <si>
    <t>&lt;1.9 (1.6-2.1)</t>
  </si>
  <si>
    <t>&gt;0.75 (0.45-1.05)</t>
  </si>
  <si>
    <t>&gt;0.75 (0.5-1)</t>
  </si>
  <si>
    <t>1.3 (1.1-1.5)</t>
  </si>
  <si>
    <t>&lt;1.3 (1-1.6)</t>
  </si>
  <si>
    <t>&gt;1.0 (0.7-1.3)</t>
  </si>
  <si>
    <t>&lt;2.4 (2-2.8)</t>
  </si>
  <si>
    <t>&lt;2.3 (2.1-2.5)</t>
  </si>
  <si>
    <t>&gt;0.3 (0-0.6)</t>
  </si>
  <si>
    <t>&gt;0.6 (0.1-1.1)</t>
  </si>
  <si>
    <t>&gt;0.9 (0.4-1.3)</t>
  </si>
  <si>
    <t>&gt;1.4 (0.9-1.9)</t>
  </si>
  <si>
    <t>1.9 (1.4-2.4)</t>
  </si>
  <si>
    <t>&lt;1.7 (1.4-2.0)</t>
  </si>
  <si>
    <t>3.1 (2.5-3.7)</t>
  </si>
  <si>
    <t>&gt;3.2 (2.9-3.5)</t>
  </si>
  <si>
    <t>&gt;2.8 (2.5-3.1)</t>
  </si>
  <si>
    <t>2.9 (2.6-3.2)</t>
  </si>
  <si>
    <t>&gt;3.1 (2.85-3.35)</t>
  </si>
  <si>
    <t>3.1 (2.8-3.4)</t>
  </si>
  <si>
    <t>&lt;3.7 (3.1-4.5)</t>
  </si>
  <si>
    <t>3.0 (2.2-3.8)</t>
  </si>
  <si>
    <t>&gt;4.9 (3.9-5.9)</t>
  </si>
  <si>
    <t>&gt;4.1 (3.8-4.4)</t>
  </si>
  <si>
    <t>4.3 (4-4.6)</t>
  </si>
  <si>
    <t>&gt;3.5 (2.75-4.25)</t>
  </si>
  <si>
    <t>&gt;3.3 (2.55-4.05)</t>
  </si>
  <si>
    <t>&gt;2.2 (1.2-3.2)</t>
  </si>
  <si>
    <t>4.2 (4-4.4)</t>
  </si>
  <si>
    <t>3.7 (2.7-4.7)</t>
  </si>
  <si>
    <t>4.4 (4-4.8)</t>
  </si>
  <si>
    <t>&gt;4.9 (4.1-5.7)</t>
  </si>
  <si>
    <t>4.5 (4.2-4.8)</t>
  </si>
  <si>
    <t>4.2 (3.9-4.5)</t>
  </si>
  <si>
    <t>4.2 (3.9-4.7)</t>
  </si>
  <si>
    <t>5.1 (4.3-4.9)</t>
  </si>
  <si>
    <t>4.0 (3.5-4.5)</t>
  </si>
  <si>
    <t>4.8 (4.5-5.1)</t>
  </si>
  <si>
    <t>4.6 (4.2-4.8)</t>
  </si>
  <si>
    <t>&lt;4.6 (4.3-4.9)</t>
  </si>
  <si>
    <t>&gt;3.4 (2.9-3.9)</t>
  </si>
  <si>
    <t>&gt;3.3 (3-3.6)</t>
  </si>
  <si>
    <t>4.1 (3.7-4.5)</t>
  </si>
  <si>
    <t>5.2 (4.4-6)</t>
  </si>
  <si>
    <t>&gt;2.9 (2.6-3.2)</t>
  </si>
  <si>
    <t>4.7 (4.4-5)</t>
  </si>
  <si>
    <t>&gt;4.5 (4.2-4.8)</t>
  </si>
  <si>
    <t>&gt;4.2 (3.8-4.6)</t>
  </si>
  <si>
    <t>&gt;4.15 (3.85-4.45)</t>
  </si>
  <si>
    <t>5.0 (4.2-5.8)</t>
  </si>
  <si>
    <t>&gt;1.8 (1.6-2)</t>
  </si>
  <si>
    <t>&gt;3.6 (3.4-3.8)</t>
  </si>
  <si>
    <t>&gt;3.9 (3.4-4.4)</t>
  </si>
  <si>
    <t>5.0 (4.4-5.6)</t>
  </si>
  <si>
    <t>&gt;1.1 (0.8-1.4)</t>
  </si>
  <si>
    <t>5.0 (4.8-5.2)</t>
  </si>
  <si>
    <t>4.2 (3.8-4.6)</t>
  </si>
  <si>
    <t>&lt;5.0 (4.6-5.4)</t>
  </si>
  <si>
    <t>&gt;2.8 (2.4-3.2)</t>
  </si>
  <si>
    <t>4.4 (3.9-4.9)</t>
  </si>
  <si>
    <t>3.9 (3.6-4.2)</t>
  </si>
  <si>
    <t>&gt;4.1 (3.6-4.6)</t>
  </si>
  <si>
    <t>&gt;4.1 (4-4.2)</t>
  </si>
  <si>
    <t>&lt;4.1 (3.5-4.7)</t>
  </si>
  <si>
    <t>&gt;3.7 (3.4-4)</t>
  </si>
  <si>
    <t>&gt;5.1 (4.7-5.5)</t>
  </si>
  <si>
    <t>&gt;3.9 (3.6-4.2)</t>
  </si>
  <si>
    <t>&gt;2.5 (2.2-2.8)</t>
  </si>
  <si>
    <t>5.4 (4.9-5.9)</t>
  </si>
  <si>
    <t>&gt;2.7 (2.2-3.2)</t>
  </si>
  <si>
    <t>&gt;3.1 (2.5-3.7)</t>
  </si>
  <si>
    <t>&gt;2.3 (1.8-2.8)</t>
  </si>
  <si>
    <t>&gt;3.2 (2.8-3.6)</t>
  </si>
  <si>
    <t>3.9 (3.3-4.5)</t>
  </si>
  <si>
    <t>&gt;0.7 (0.3-1)</t>
  </si>
  <si>
    <t>3.4 (2.9-3.9)</t>
  </si>
  <si>
    <t>&gt;3.8 (3.4-4.2)</t>
  </si>
  <si>
    <t>2.7 (1.4-4)</t>
  </si>
  <si>
    <t>2.7 (2.4-3)</t>
  </si>
  <si>
    <t>&gt;1.9 (1.6-2.2)</t>
  </si>
  <si>
    <t>2.0 (1.7-2.3)</t>
  </si>
  <si>
    <t>&gt;0.9 (0.7-1.1)</t>
  </si>
  <si>
    <t>&gt;0.4 (0.1-0.7)</t>
  </si>
  <si>
    <t>&gt;1.2 (0.8-1.5)</t>
  </si>
  <si>
    <t>1.6 (1.3-1.9)</t>
  </si>
  <si>
    <t>&gt;1.5 (1.2-1.8)</t>
  </si>
  <si>
    <t>&gt;0.8 (0.3-1.3)</t>
  </si>
  <si>
    <t>&gt;1.3 (1-1.6)</t>
  </si>
  <si>
    <t>&gt;0.8 (0.5-1.1)</t>
  </si>
  <si>
    <t>1.6 (1.2-2)</t>
  </si>
  <si>
    <t>1.2 (0.8-1.5)</t>
  </si>
  <si>
    <t>&gt;0.2 (0-0.4)</t>
  </si>
  <si>
    <t>8 ± 2 m horizontal and c. 1m of vertical displacement with 2-3 events (3 events accounts for uncertainty). Preferred is midpoint of range.</t>
  </si>
  <si>
    <t>3.5 (2-5)</t>
  </si>
  <si>
    <t>0 ± 0
1 ± 0.1</t>
  </si>
  <si>
    <t>0.2 (0.2-0.2)</t>
  </si>
  <si>
    <t>0.1 (0.1-0.1)</t>
  </si>
  <si>
    <t>1.5 (1.1-2.3)</t>
  </si>
  <si>
    <t>1.8 (1.6-2.3)</t>
  </si>
  <si>
    <t>1.2 (1.0-1.7)</t>
  </si>
  <si>
    <t>1.5 (1.2-2.0)</t>
  </si>
  <si>
    <t>0.7 (0.6-1.0)</t>
  </si>
  <si>
    <t>1.8 (1.4-2.5)</t>
  </si>
  <si>
    <t>1.8 (1.7-2.0)</t>
  </si>
  <si>
    <t>1.5 (1.4-1.7)</t>
  </si>
  <si>
    <t>0.9 (0.8-1.1)</t>
  </si>
  <si>
    <t>1.5 (1.2-2.1)</t>
  </si>
  <si>
    <t>1.1 (1.0-1.3)</t>
  </si>
  <si>
    <t>1.4 (1.1-1.8)</t>
  </si>
  <si>
    <t>0.24 (0.16-0.34)</t>
  </si>
  <si>
    <t>0.5 ± 0.05
1.1 ± 0.1</t>
  </si>
  <si>
    <t>1.3 (1.1-1.4)</t>
  </si>
  <si>
    <t>1.6 (1.4-2.0)</t>
  </si>
  <si>
    <t>1.0 (0.5-1.6)</t>
  </si>
  <si>
    <t>2.9 (2.5-3.5)</t>
  </si>
  <si>
    <t>4.3 (3.8-5.4)</t>
  </si>
  <si>
    <t>2.9 (2.5-3.6)</t>
  </si>
  <si>
    <t>3.9 (3.4-4.9)</t>
  </si>
  <si>
    <t>4.9 (4.2-6.2)</t>
  </si>
  <si>
    <t>3.4 (2.9-4.4)</t>
  </si>
  <si>
    <t>2.1 (1.8-2.8)</t>
  </si>
  <si>
    <t>1.4 (1.2-1.9)</t>
  </si>
  <si>
    <t>0.6 (0.4-0.9)</t>
  </si>
  <si>
    <t>0.7 (0.5-1.1)</t>
  </si>
  <si>
    <t>1.0 (0.7-1.4)</t>
  </si>
  <si>
    <t>2.5 (2.3-2.9)</t>
  </si>
  <si>
    <t>2.7 (2.3-3.3)</t>
  </si>
  <si>
    <t>0.8 (0.6-0.9)</t>
  </si>
  <si>
    <t>0.15 (0.05-0.29)</t>
  </si>
  <si>
    <t>0.26 (0.18-0.35)</t>
  </si>
  <si>
    <t>0.44 (0.36-0.54)</t>
  </si>
  <si>
    <t>1.1 (0.9-1.3)</t>
  </si>
  <si>
    <t>0.3 (0.3-0.4)</t>
  </si>
  <si>
    <t>1.2 (1.1-1.4)</t>
  </si>
  <si>
    <t>0.7 (0.7-0.9)</t>
  </si>
  <si>
    <t>0.6 (0.5-0.7)</t>
  </si>
  <si>
    <t>0.8 (0.7-0.9)</t>
  </si>
  <si>
    <t>1.5 (1.3-1.8)</t>
  </si>
  <si>
    <t>2.1 (1.9-2.4)</t>
  </si>
  <si>
    <t>1.1 (0.9-1.4)</t>
  </si>
  <si>
    <t>1.6 (1.4-1.9)</t>
  </si>
  <si>
    <t>2.3 (2.0-2.9)</t>
  </si>
  <si>
    <t>1.9 (1.7-2.1)</t>
  </si>
  <si>
    <t>2.3 (2.2-2.6)</t>
  </si>
  <si>
    <t>0.2 (0.2-0.4)</t>
  </si>
  <si>
    <t>1.0 (0.8-1.3)</t>
  </si>
  <si>
    <t>0.8 (0.7-1.0)</t>
  </si>
  <si>
    <t>1.5 (1.3-1.9)</t>
  </si>
  <si>
    <t>2.5 (2.3-3.1)</t>
  </si>
  <si>
    <t>3.4 (2.9-4.2)</t>
  </si>
  <si>
    <t>1.2 (0.9-1.6)</t>
  </si>
  <si>
    <t>1.2 (0.8-1.8)</t>
  </si>
  <si>
    <t>2.3 (1.2-4.2)</t>
  </si>
  <si>
    <t>1.2 (0.8-1.9)</t>
  </si>
  <si>
    <t>1.9 (1.8-2.1)</t>
  </si>
  <si>
    <t>0.82 (0.76-0.92)</t>
  </si>
  <si>
    <t>0.71 (0.65-0.83)</t>
  </si>
  <si>
    <t>0.7 (0.6-0.8)</t>
  </si>
  <si>
    <t>1.4 (1.1-2.0)</t>
  </si>
  <si>
    <t>1.9 (1.8-2.0)</t>
  </si>
  <si>
    <t>2.4 (2.0-3.1)</t>
  </si>
  <si>
    <t>2.3 (2.1-2.8)</t>
  </si>
  <si>
    <t>1.7 (1.5-2.0)</t>
  </si>
  <si>
    <t>1.7 (1.4-1.9)</t>
  </si>
  <si>
    <t>0.6 (0.5-0.9)</t>
  </si>
  <si>
    <t>1.1 (0.9-1.5)</t>
  </si>
  <si>
    <t>0.8 (0.7-1.1)</t>
  </si>
  <si>
    <t>1.0 (0.9-1.1)</t>
  </si>
  <si>
    <t>1.1 (1.0-1.2)</t>
  </si>
  <si>
    <t>1.7 (1.6-1.9)</t>
  </si>
  <si>
    <t>2.0 (1.9-2.0)</t>
  </si>
  <si>
    <t>1.0 (0.8-1.2)</t>
  </si>
  <si>
    <t>1.8 (1.8-2.0)</t>
  </si>
  <si>
    <t>1.8 (1.6-2.0)</t>
  </si>
  <si>
    <t>2.1 (2.0-2.4)</t>
  </si>
  <si>
    <t>1.6 (1.5-1.7)</t>
  </si>
  <si>
    <t>2.1 (1.9-2.3)</t>
  </si>
  <si>
    <t>1.8 (1.7-1.9)</t>
  </si>
  <si>
    <t>1.0 (0.9-1.2)</t>
  </si>
  <si>
    <t>0.6 (0.6-0.7)</t>
  </si>
  <si>
    <t>0.9 (0.8-1.0)</t>
  </si>
  <si>
    <t>1.4 (1.1-1.9)</t>
  </si>
  <si>
    <t>3.2 (2.6-4.3)</t>
  </si>
  <si>
    <t>0.9 (0.8-1.3)</t>
  </si>
  <si>
    <t>0.9 (0.7-1.3)</t>
  </si>
  <si>
    <t>1.3 (1.0-1.8)</t>
  </si>
  <si>
    <t>0.21 (0.19-0.24)</t>
  </si>
  <si>
    <t>0.5 (0.45-0.55)</t>
  </si>
  <si>
    <t>0.85 (0.8-0.9)</t>
  </si>
  <si>
    <t>0.2 (0.15-0.25)</t>
  </si>
  <si>
    <t>2010 Darfield Earthquake rupture. Measurement beyond the end of rupture to constrain maximum extent.</t>
  </si>
  <si>
    <r>
      <rPr>
        <sz val="10"/>
        <rFont val="Calibri"/>
        <family val="2"/>
      </rPr>
      <t>≥</t>
    </r>
    <r>
      <rPr>
        <sz val="10"/>
        <rFont val="Calibri"/>
        <family val="2"/>
        <scheme val="minor"/>
      </rPr>
      <t>0.9 ± 0.25</t>
    </r>
  </si>
  <si>
    <t>≥0.95 ± 0.2</t>
  </si>
  <si>
    <t>Likely a minimum because V component not measured.</t>
  </si>
  <si>
    <t>Likely a minimum because RL component not measured.</t>
  </si>
  <si>
    <t>≥1.3 (1.1-1.5)</t>
  </si>
  <si>
    <t>≥0.7 (0.3-1.1)</t>
  </si>
  <si>
    <r>
      <rPr>
        <sz val="10"/>
        <color theme="1"/>
        <rFont val="Calibri"/>
        <family val="2"/>
      </rPr>
      <t>&gt;</t>
    </r>
    <r>
      <rPr>
        <sz val="10"/>
        <color theme="1"/>
        <rFont val="Calibri"/>
        <family val="2"/>
        <scheme val="minor"/>
      </rPr>
      <t>1.65 (1.55-1.75)</t>
    </r>
  </si>
  <si>
    <t>&gt;1.55 (1.45-1.65)</t>
  </si>
  <si>
    <t>&gt;0.85 (0.75-0.95)</t>
  </si>
  <si>
    <t>&gt;0.15 (0.05-0.25)</t>
  </si>
  <si>
    <t>&gt;0.15 (0.14-0.16)</t>
  </si>
  <si>
    <t>&gt;1.3 (1.1-1.5)</t>
  </si>
  <si>
    <t>&gt;1.45 (1.25-1.7)</t>
  </si>
  <si>
    <t>Minimum because RL component not measured.</t>
  </si>
  <si>
    <t>&gt;0.15 (0-0.3)</t>
  </si>
  <si>
    <t>&gt;0.65 (0.4-0.9)</t>
  </si>
  <si>
    <t>&gt;0.35 (0.15-0.55)</t>
  </si>
  <si>
    <t>&gt;0.6 (0.4-0.8)</t>
  </si>
  <si>
    <t>&gt;0.35 (0.15-0.5)</t>
  </si>
  <si>
    <t>&gt;0.55 (0.15-0.95)</t>
  </si>
  <si>
    <t>&gt;0.7 (0.3-1.1)</t>
  </si>
  <si>
    <t>&gt;0.8 (0.4-1.2)</t>
  </si>
  <si>
    <t>&gt;1.15 (0.85-0.45)</t>
  </si>
  <si>
    <t>Observation beyond the end of the rupture to constrain the maximum length.</t>
  </si>
  <si>
    <r>
      <rPr>
        <sz val="10"/>
        <rFont val="Calibri"/>
        <family val="2"/>
      </rPr>
      <t>≥</t>
    </r>
    <r>
      <rPr>
        <sz val="10"/>
        <rFont val="Calibri"/>
        <family val="2"/>
        <scheme val="minor"/>
      </rPr>
      <t>1.2 (0.9-1.5)</t>
    </r>
  </si>
  <si>
    <t>≥1.1 (0.8-1.4)</t>
  </si>
  <si>
    <t>≥1.3 (1-1.6)</t>
  </si>
  <si>
    <t>≥1.6 (1.2-2)</t>
  </si>
  <si>
    <t>≥1.5 (1.2-1.8)</t>
  </si>
  <si>
    <t>≥1.7 (1.2-2.2)</t>
  </si>
  <si>
    <t>≥1 (0.5-1.5)</t>
  </si>
  <si>
    <t>0.9 (0.7-1.1)</t>
  </si>
  <si>
    <t>≥0.7 (0.5-0.9)</t>
  </si>
  <si>
    <r>
      <rPr>
        <sz val="10"/>
        <color theme="1"/>
        <rFont val="Calibri"/>
        <family val="2"/>
      </rPr>
      <t>≥</t>
    </r>
    <r>
      <rPr>
        <sz val="10"/>
        <color theme="1"/>
        <rFont val="Calibri"/>
        <family val="2"/>
        <scheme val="minor"/>
      </rPr>
      <t>3 (2.6-3.4)</t>
    </r>
  </si>
  <si>
    <t>≥0.75 (0.65-0.85)</t>
  </si>
  <si>
    <t>≥2 (0.75-2.25)</t>
  </si>
  <si>
    <t>≥0.45 (0.15-0.75)</t>
  </si>
  <si>
    <t>≥0.6 (0.2-1)</t>
  </si>
  <si>
    <t>≥1.1 (0.85-1.35)</t>
  </si>
  <si>
    <t>≥1.2 (0.95-1.45)</t>
  </si>
  <si>
    <t>≥3.8 (3.3-4.3)</t>
  </si>
  <si>
    <t>≥3.1 (2.8-3.4)</t>
  </si>
  <si>
    <t>≥3.7 (3.25-4.15)</t>
  </si>
  <si>
    <t>≥4.5 (4.3-4.7)</t>
  </si>
  <si>
    <t>≥4.5 (4.25-4.75)</t>
  </si>
  <si>
    <t>≥3.9 (3.6-4.2)</t>
  </si>
  <si>
    <t>≥4.8 (4.6-5.0)</t>
  </si>
  <si>
    <t>≥4.6 (4.4-4.8)</t>
  </si>
  <si>
    <t>4.6 (3.6-5.6)</t>
  </si>
  <si>
    <r>
      <rPr>
        <sz val="10"/>
        <color theme="1"/>
        <rFont val="Calibri"/>
        <family val="2"/>
      </rPr>
      <t>≥</t>
    </r>
    <r>
      <rPr>
        <sz val="10"/>
        <color theme="1"/>
        <rFont val="Calibri"/>
        <family val="2"/>
        <scheme val="minor"/>
      </rPr>
      <t>4.1 (3.8-4.4)</t>
    </r>
  </si>
  <si>
    <t>≥4.95 (4.75-5.15)</t>
  </si>
  <si>
    <t>≥5.1 (4.6-5.6)</t>
  </si>
  <si>
    <t>≥4.8 (4.1-5.7)</t>
  </si>
  <si>
    <r>
      <rPr>
        <sz val="10"/>
        <color theme="1"/>
        <rFont val="Calibri"/>
        <family val="2"/>
      </rPr>
      <t>≥</t>
    </r>
    <r>
      <rPr>
        <sz val="10"/>
        <color theme="1"/>
        <rFont val="Calibri"/>
        <family val="2"/>
        <scheme val="minor"/>
      </rPr>
      <t>4.4 (3.1-5.7)</t>
    </r>
  </si>
  <si>
    <r>
      <rPr>
        <sz val="10"/>
        <color theme="1"/>
        <rFont val="Calibri"/>
        <family val="2"/>
      </rPr>
      <t>≥</t>
    </r>
    <r>
      <rPr>
        <sz val="10"/>
        <color theme="1"/>
        <rFont val="Calibri"/>
        <family val="2"/>
        <scheme val="minor"/>
      </rPr>
      <t>4.9 (4.65-5.15)</t>
    </r>
  </si>
  <si>
    <t>≥4.85 (4.45-5.25)</t>
  </si>
  <si>
    <t>≥4.2 (3.95-4.45)</t>
  </si>
  <si>
    <t>≥4.3 (4.05-4.55)</t>
  </si>
  <si>
    <t>≥4.2 (4-4.4)</t>
  </si>
  <si>
    <t>≥3.7 (3.2-4.2)</t>
  </si>
  <si>
    <t>≥4.35 (4.05-4.6)</t>
  </si>
  <si>
    <t>≥4.9 (4.15-5.65)</t>
  </si>
  <si>
    <t>≥4.3 (4.1-4.5)</t>
  </si>
  <si>
    <t>≥2.6 (2.1-3.1)</t>
  </si>
  <si>
    <t>≥3.5 (3-4)</t>
  </si>
  <si>
    <t>≥2.85 (2.55-3.15)</t>
  </si>
  <si>
    <t>≥2.5 (2-3)</t>
  </si>
  <si>
    <t>≥3.7 (3.1-3.5)</t>
  </si>
  <si>
    <t>≥3.7 (3.3-4.1)</t>
  </si>
  <si>
    <t>≥3.2 (2.7-3.7)</t>
  </si>
  <si>
    <t>≥1.2 (1-1.4)</t>
  </si>
  <si>
    <t>≥1.1 (0.9-1.3)</t>
  </si>
  <si>
    <t>≥0.85 (0.55-2.15)</t>
  </si>
  <si>
    <t>Minimum because RL a minimum and V component not measured.</t>
  </si>
  <si>
    <t>Maximum RL but V not measured so not clear if still a maximum</t>
  </si>
  <si>
    <t>Channels offset by 8.5-14 m. Authors state that displacement is the total of two events from trench evidence. Preferred is midpoint of range.</t>
  </si>
  <si>
    <r>
      <rPr>
        <sz val="10"/>
        <color theme="1"/>
        <rFont val="Calibri"/>
        <family val="2"/>
      </rPr>
      <t>≥5.6 (</t>
    </r>
    <r>
      <rPr>
        <sz val="10"/>
        <color theme="1"/>
        <rFont val="Calibri"/>
        <family val="2"/>
        <scheme val="minor"/>
      </rPr>
      <t>4.25-7)</t>
    </r>
  </si>
  <si>
    <t>Range from sites 562-564 and others. Preferred is midpoint of range.</t>
  </si>
  <si>
    <t>3.4 (3.2-3.6)</t>
  </si>
  <si>
    <t>2.5 (2-3)</t>
  </si>
  <si>
    <t>Slope</t>
  </si>
  <si>
    <t>Two strands at the site, southern strand 6.5 m offset north side up, northern strand had a 2.1 m vertical separation north south side up. The authors gave a net vertical offset which is given here, 4.4 m north side up. Caluclated vertical SR using 4.4 m offset and inferred uncertainity of 0.5 m and used full range of inferred ages  and inferred average of 14 ka. Dip SR calculated CFM and inferred to be net SR, which is a minimum because no SS SR.</t>
  </si>
  <si>
    <t>CFM SR 
(mm/yr)
Net</t>
  </si>
  <si>
    <t>Langridge et al. (2011b); Langridge and Ries (2014)</t>
  </si>
  <si>
    <t>Reported SR 
(mm/yr)
Min.</t>
  </si>
  <si>
    <t>Reported SR 
(mm/yr)
Max.</t>
  </si>
  <si>
    <t>CFM Name</t>
  </si>
  <si>
    <t>CFM Net SR 
Comments</t>
  </si>
  <si>
    <t>Local Strike</t>
  </si>
  <si>
    <t>Reported Component (SR)</t>
  </si>
  <si>
    <t>QR1 Offset Feature
(A-D)</t>
  </si>
  <si>
    <t>Reported Component (Offset)</t>
  </si>
  <si>
    <t>Reported Offset (m)</t>
  </si>
  <si>
    <t>Offset Feature(s)</t>
  </si>
  <si>
    <t>Reported Age (ka)</t>
  </si>
  <si>
    <t>Start Age 
(ka) 
Pref.</t>
  </si>
  <si>
    <t>Start Age 
(ka) 
Min.</t>
  </si>
  <si>
    <t>End Age 
(ka) 
Pref.</t>
  </si>
  <si>
    <t>Start Age (ka) 
Max.</t>
  </si>
  <si>
    <t>End Age 
(ka) 
Min.</t>
  </si>
  <si>
    <t>End Age 
(ka) 
Max.</t>
  </si>
  <si>
    <t>Dating Method</t>
  </si>
  <si>
    <t>SR Tmeframe Category
(ka)</t>
  </si>
  <si>
    <t>No. of Events Pref.</t>
  </si>
  <si>
    <t>No. of Events Min.</t>
  </si>
  <si>
    <t>No. of Events Max.</t>
  </si>
  <si>
    <t>No. of Measurements</t>
  </si>
  <si>
    <t>CFM No.</t>
  </si>
  <si>
    <t>QA'd By</t>
  </si>
  <si>
    <t>Updated By</t>
  </si>
  <si>
    <t>Last Updated</t>
  </si>
  <si>
    <t>Initially Compiled By</t>
  </si>
  <si>
    <t>Comments Regarding Dating</t>
  </si>
  <si>
    <t>Comments Regarding SR</t>
  </si>
  <si>
    <t>No. of Earthquakes</t>
  </si>
  <si>
    <t>Easting 
(NZTM)</t>
  </si>
  <si>
    <t>Northing 
(NZTM)</t>
  </si>
  <si>
    <t>Reported RI Method</t>
  </si>
  <si>
    <t>RI Comments</t>
  </si>
  <si>
    <t>RI Data Source</t>
  </si>
  <si>
    <t>Reported EQ Age</t>
  </si>
  <si>
    <t>No. of EQs</t>
  </si>
  <si>
    <t>QR2 Earthquake Evidence
(A-C)</t>
  </si>
  <si>
    <t>QR1 
Earthquake
Dating
(A-C)</t>
  </si>
  <si>
    <t>Net SED Comments</t>
  </si>
  <si>
    <t>Reported Component (SED)</t>
  </si>
  <si>
    <t>Comments Regarding SED</t>
  </si>
  <si>
    <t>Offset Feature</t>
  </si>
  <si>
    <t>QR SED
(A-C)</t>
  </si>
  <si>
    <t>1.6 ± 0.4
3.7 ± 0.4</t>
  </si>
  <si>
    <t>2.1 ± 0.4
3.1 ± 0.4</t>
  </si>
  <si>
    <t>≥7 (6-8)</t>
  </si>
  <si>
    <t>&gt;6.7 (5.7-7.7)</t>
  </si>
  <si>
    <t>Vertical displacement from a GPR profile, but surveying method not stated. Reported as a DS rate, but is really a vertical SR. Because only one component assume could be a minimum rate.</t>
  </si>
  <si>
    <t>≥7.5 (6-9)</t>
  </si>
  <si>
    <t>Calculated from differential uplift rates of marine terrace/sediments across fault. Reported as a DS rate, but probably a vertical SR. Because only one component reported assume could be a minumum rate.</t>
  </si>
  <si>
    <t>≥3 (2.5-3.5)</t>
  </si>
  <si>
    <r>
      <t xml:space="preserve">Calculated as an uplift rate using Gibb SL curve and then assume uplift rate on downthrown side </t>
    </r>
    <r>
      <rPr>
        <sz val="10"/>
        <color theme="1"/>
        <rFont val="Calibri"/>
        <family val="2"/>
      </rPr>
      <t>≤1 mm/yr.</t>
    </r>
    <r>
      <rPr>
        <sz val="10"/>
        <color theme="1"/>
        <rFont val="Calibri"/>
        <family val="2"/>
        <scheme val="minor"/>
      </rPr>
      <t xml:space="preserve"> Reported as a DS rate, but appears to be a V rate. Because only one component assume could be a minimum rate.</t>
    </r>
  </si>
  <si>
    <r>
      <t>Pondard, N.; Barnes, P.M. 2010 Structure and paleoearthquake records of active submarine faults, Cook Strait, New Zealand: implications for fault interactions, stress loading, and seismic hazard.</t>
    </r>
    <r>
      <rPr>
        <i/>
        <sz val="10"/>
        <rFont val="Calibri"/>
        <family val="2"/>
        <scheme val="minor"/>
      </rPr>
      <t> Journal of Geophysical Research. Solid Earth, 115: </t>
    </r>
    <r>
      <rPr>
        <sz val="10"/>
        <rFont val="Calibri"/>
        <family val="2"/>
        <scheme val="minor"/>
      </rPr>
      <t>B12320; doi: 10.1029/2010JB007781</t>
    </r>
  </si>
  <si>
    <t>From vertical separation of basal contact and youngest colluvial wedge. No dateable material found in the trench; maximum age inferred for age of terrace based on absence of loess.</t>
  </si>
  <si>
    <t>Inferred to be 1848 Awatere Earthquake rupture. Measured using tape measure. Uncertainties symmetrical and considered 2 sigma.</t>
  </si>
  <si>
    <t>Inferred to be 1848 Awatere Earthquake rupture.Measured using RTK GPS map and taking into account 3D plunge and dip. Uncertainties symmetrical and considered 2 sigma.</t>
  </si>
  <si>
    <t>Inferred to be 1848 Awatere Earthquake rupture. Measured using RTK GPS map and taking into account 3D plunge and dip. Uncertainties symmetrical and considered 2 sigma.</t>
  </si>
  <si>
    <t>Offset 9.9 ± 1.7 m and considered to be 2 earthquakes, youngest inferred to be the 1848 Awatere Earthquake rupture. Measured using RTK GPS map and taking into account 3D plunge and dip. Uncertainties symmetrical and considered 2 sigma.</t>
  </si>
  <si>
    <t>Inferred to be 1848 Awatere Earthquake rupture. Offset 9.7 ± 0.7 m and considered to be 2 earthquakes. Measured using RTK GPS map and taking into account 3D plunge and dip. Uncertainties symmetrical and considered 2 sigma.</t>
  </si>
  <si>
    <t>Inferred to be 1848 Awatere Earthquake rupture.Measured using tape measure. Uncertainties symmetrical and considered 2 sigma.</t>
  </si>
  <si>
    <t>Inferred to be 1848 Awatere Earthquake rupture. From Little et al. (1998)</t>
  </si>
  <si>
    <t>Inferred to be 1848 Awatere Earthquake rupture. From Benson et al. (2001a)</t>
  </si>
  <si>
    <t>Offset 13 ± 2 m and considered to be 2 earthquakes, youngest inferred to be 1848 Awatere Earthquake rupture. From Benson et al. (2001a)</t>
  </si>
  <si>
    <t>Inferred to be 1848 Awatere Earthquake rupture. From Grapes et al. (1998)</t>
  </si>
  <si>
    <t>Inferred to be 1848 Awatere Earthquake rupture. Surveyed profiles. From Little et al. (1998)</t>
  </si>
  <si>
    <t>Offset 12 ± 1 m and considered to be 2 earthquakes, youngest inferred to be 1848 Awatere Earthquake rupture. From Benson et al. (2001a)</t>
  </si>
  <si>
    <t xml:space="preserve">Inferred to be 1848 Awatere Earthquake rupture. </t>
  </si>
  <si>
    <t>Inferred to be 1848 Awatere Earthquake rupture. Surveyed profiles</t>
  </si>
  <si>
    <t>Inferred to be the 1855 Waiararapa Earthquake rupture. Offset measured using mid-point contours (with triangular uncertainty regions) on the risers created from a Trimble RTK GPS and Sokkia EDM laser ranging survey ( ± 1cm horizontal and  ± 18cm vertical precision).</t>
  </si>
  <si>
    <t>Assume offset is recording two events and the youngest is inferred to be the 1855 Waiararapa Earthquake rupture. Offset measured using mid-point contours (with triangular uncertainty regions) on the risers created from a Trimble RTK GPS and Sokkia EDM laser ranging survey ( ± 1cm horizontal and  ± 18cm vertical precision).</t>
  </si>
  <si>
    <t>Assume offset is recording two events and the youngest is inferred to be the 1855 Waiararapa Earthquake rupture. . Offset measured using mid-point contours (with triangular uncertainty regions) on the risers created from a Trimble RTK GPS and Sokkia EDM laser ranging survey ( ± 1cm horizontal and  ± 18cm vertical precision).</t>
  </si>
  <si>
    <t>1968 Inangahua Earthquake rupture. Measurement method not stated, or uncertainties. Lensen and Otway (1971) report the LL as 0.19 m.</t>
  </si>
  <si>
    <t>1968 Inangahua Earthquake rupture. Measurement method not stated, or uncertainties. Lensen and Otway (1971) report the horizontal displacement as sinistral in the text, but appears to be dextral in Fig. 9.</t>
  </si>
  <si>
    <t>1968 Inangahua Earthquake rupture. Measurement method not stated and no uncertainity given.</t>
  </si>
  <si>
    <r>
      <t>Brough, T.</t>
    </r>
    <r>
      <rPr>
        <sz val="10"/>
        <color rgb="FF003300"/>
        <rFont val="Calibri"/>
        <family val="2"/>
        <scheme val="minor"/>
      </rPr>
      <t> 2019 Tectonic geomorphology and paleoseismology of the Humps Fault Zone, north Culverden basin. MSc (Geology) thesis, University of Canterbury. 93 p.</t>
    </r>
  </si>
  <si>
    <t>Schermer, E.; Van Dissen, R.J.; Berryman, K.R. 1998 In search of the source of the 1934 Pahiatua earthquake. Lower Hutt, N.Z.: Institute of Geological &amp; Nuclear Sciences. 75 p.</t>
  </si>
  <si>
    <t>From vertical seperation of a seismic reflection growth sequence. Age from sedimentation rate constrained by 9 radiocarbon dates calibrated using MARINE13 and ΔR = 4 ± 23 years). Close in time to development of PGS2/1 surface. Median ± 2 sigma.</t>
  </si>
  <si>
    <t>EQ1/2 (LE/PE)</t>
  </si>
  <si>
    <t>EQ2 (APE)</t>
  </si>
  <si>
    <r>
      <t xml:space="preserve">Zinke, R.; Dolan, J.F.; Rhodes, E.J.; Van Dissen, R.J.; Hatem, A.E.; McGuire, C.; Brown, N.; Grenader, J.R. 2021. Latest Pleistocene-Holocene incremental slip rates of the Wairau Fault: Implications for long-term coordination of faulting between North and South Island, New Zealand. </t>
    </r>
    <r>
      <rPr>
        <i/>
        <sz val="10"/>
        <rFont val="Calibri"/>
        <family val="2"/>
        <scheme val="minor"/>
      </rPr>
      <t>Geochemistry, Geophysics, Geosystems</t>
    </r>
    <r>
      <rPr>
        <sz val="10"/>
        <rFont val="Calibri"/>
        <family val="2"/>
        <scheme val="minor"/>
      </rPr>
      <t>, 22:e2021GC009656. doi:10.1029/2021GC009656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</si>
</sst>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color theme="1"/>
      <name val="Calibri"/>
      <family val="2"/>
    </font>
    <font>
      <sz val="11"/>
      <name val="Calibri"/>
      <family val="2"/>
      <scheme val="minor"/>
    </font>
    <font>
      <sz val="8"/>
      <name val="Calibri"/>
      <family val="2"/>
      <scheme val="minor"/>
    </font>
    <font>
      <sz val="10"/>
      <name val="Calibri"/>
      <family val="2"/>
      <scheme val="minor"/>
    </font>
    <font>
      <b/>
      <sz val="10"/>
      <color theme="1"/>
      <name val="Calibri"/>
      <family val="2"/>
    </font>
    <font>
      <b/>
      <sz val="11"/>
      <name val="Calibri"/>
      <family val="2"/>
      <scheme val="minor"/>
    </font>
    <font>
      <sz val="8"/>
      <color theme="1"/>
      <name val="Calibri"/>
      <family val="2"/>
    </font>
    <font>
      <sz val="10"/>
      <name val="Calibri"/>
      <family val="2"/>
    </font>
    <font>
      <sz val="10"/>
      <color rgb="FFFF0000"/>
      <name val="Calibri"/>
      <family val="2"/>
      <scheme val="minor"/>
    </font>
    <font>
      <sz val="8"/>
      <name val="Calibri"/>
      <family val="2"/>
    </font>
    <font>
      <sz val="7"/>
      <color theme="1"/>
      <name val="Calibri"/>
      <family val="2"/>
    </font>
    <font>
      <sz val="9"/>
      <color theme="1"/>
      <name val="Calibri"/>
      <family val="2"/>
    </font>
    <font>
      <sz val="8.1"/>
      <color theme="1"/>
      <name val="Calibri"/>
      <family val="2"/>
    </font>
    <font>
      <sz val="11"/>
      <color theme="1"/>
      <name val="Calibri"/>
      <family val="2"/>
    </font>
    <font>
      <sz val="9"/>
      <name val="Calibri"/>
      <family val="2"/>
    </font>
    <font>
      <sz val="10"/>
      <color theme="1"/>
      <name val="Arial"/>
      <family val="2"/>
    </font>
    <font>
      <i/>
      <sz val="10"/>
      <name val="Calibri"/>
      <family val="2"/>
      <scheme val="minor"/>
    </font>
    <font>
      <i/>
      <vertAlign val="subscript"/>
      <sz val="10"/>
      <name val="Calibri"/>
      <family val="2"/>
      <scheme val="minor"/>
    </font>
    <font>
      <i/>
      <sz val="10"/>
      <name val="Calibri"/>
      <family val="2"/>
    </font>
    <font>
      <b/>
      <sz val="9"/>
      <color theme="1"/>
      <name val="Calibri"/>
      <family val="2"/>
    </font>
    <font>
      <vertAlign val="subscript"/>
      <sz val="10"/>
      <name val="Calibri"/>
      <family val="2"/>
      <scheme val="minor"/>
    </font>
    <font>
      <sz val="10"/>
      <color rgb="FF003300"/>
      <name val="Calibri"/>
      <family val="2"/>
      <scheme val="minor"/>
    </font>
    <font>
      <i/>
      <sz val="10"/>
      <color rgb="FF003300"/>
      <name val="Calibri"/>
      <family val="2"/>
      <scheme val="minor"/>
    </font>
    <font>
      <sz val="8.5"/>
      <color theme="1"/>
      <name val="Calibri"/>
      <family val="2"/>
    </font>
    <font>
      <sz val="10"/>
      <color rgb="FF000000"/>
      <name val="Calibri"/>
      <family val="2"/>
      <scheme val="minor"/>
    </font>
    <font>
      <vertAlign val="subscript"/>
      <sz val="10"/>
      <color rgb="FF000000"/>
      <name val="Calibri"/>
      <family val="2"/>
      <scheme val="minor"/>
    </font>
    <font>
      <i/>
      <sz val="10"/>
      <color rgb="FF000000"/>
      <name val="Calibri"/>
      <family val="2"/>
      <scheme val="minor"/>
    </font>
    <font>
      <i/>
      <vertAlign val="subscript"/>
      <sz val="10"/>
      <color rgb="FF000000"/>
      <name val="Calibri"/>
      <family val="2"/>
      <scheme val="minor"/>
    </font>
    <font>
      <sz val="10"/>
      <name val="Verdana"/>
      <family val="2"/>
    </font>
  </fonts>
  <fills count="18">
    <fill>
      <patternFill patternType="none"/>
    </fill>
    <fill>
      <patternFill patternType="gray125"/>
    </fill>
    <fill>
      <patternFill patternType="solid">
        <fgColor rgb="FFCCCCFF"/>
        <bgColor indexed="64"/>
      </patternFill>
    </fill>
    <fill>
      <patternFill patternType="solid">
        <fgColor theme="7" tint="0.79998168889431442"/>
        <bgColor indexed="64"/>
      </patternFill>
    </fill>
    <fill>
      <patternFill patternType="solid">
        <fgColor rgb="FFFFFFCC"/>
        <bgColor indexed="64"/>
      </patternFill>
    </fill>
    <fill>
      <patternFill patternType="solid">
        <fgColor rgb="FF00B0F0"/>
        <bgColor indexed="64"/>
      </patternFill>
    </fill>
    <fill>
      <patternFill patternType="solid">
        <fgColor rgb="FFFFC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rgb="FFFFCCCC"/>
        <bgColor indexed="64"/>
      </patternFill>
    </fill>
    <fill>
      <patternFill patternType="solid">
        <fgColor theme="6" tint="0.79998168889431442"/>
        <bgColor indexed="64"/>
      </patternFill>
    </fill>
    <fill>
      <patternFill patternType="solid">
        <fgColor theme="0" tint="-0.499984740745262"/>
        <bgColor indexed="64"/>
      </patternFill>
    </fill>
  </fills>
  <borders count="1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cellStyleXfs>
  <cellXfs count="116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wrapText="1"/>
    </xf>
    <xf numFmtId="0" fontId="1" fillId="0" borderId="1" xfId="0" applyFont="1" applyBorder="1"/>
    <xf numFmtId="0" fontId="3" fillId="0" borderId="0" xfId="0" applyFont="1" applyAlignment="1">
      <alignment horizontal="left"/>
    </xf>
    <xf numFmtId="0" fontId="3" fillId="0" borderId="0" xfId="0" applyFont="1" applyFill="1" applyAlignment="1">
      <alignment horizontal="center"/>
    </xf>
    <xf numFmtId="0" fontId="2" fillId="0" borderId="0" xfId="0" applyFont="1" applyFill="1" applyAlignment="1">
      <alignment horizontal="left"/>
    </xf>
    <xf numFmtId="0" fontId="1" fillId="0" borderId="0" xfId="0" applyFont="1"/>
    <xf numFmtId="0" fontId="2" fillId="6" borderId="0" xfId="0" applyFont="1" applyFill="1" applyAlignment="1">
      <alignment horizontal="center"/>
    </xf>
    <xf numFmtId="0" fontId="3" fillId="6" borderId="0" xfId="0" applyFont="1" applyFill="1" applyAlignment="1">
      <alignment horizontal="center"/>
    </xf>
    <xf numFmtId="0" fontId="2" fillId="5" borderId="0" xfId="0" applyFont="1" applyFill="1" applyAlignment="1">
      <alignment horizontal="center"/>
    </xf>
    <xf numFmtId="0" fontId="0" fillId="0" borderId="0" xfId="0" applyAlignment="1">
      <alignment horizontal="left"/>
    </xf>
    <xf numFmtId="0" fontId="2" fillId="6" borderId="0" xfId="0" applyFont="1" applyFill="1" applyAlignment="1">
      <alignment horizontal="left"/>
    </xf>
    <xf numFmtId="0" fontId="3" fillId="0" borderId="0" xfId="0" applyFont="1" applyFill="1"/>
    <xf numFmtId="0" fontId="3" fillId="6" borderId="0" xfId="0" applyFont="1" applyFill="1" applyAlignment="1">
      <alignment horizontal="left"/>
    </xf>
    <xf numFmtId="0" fontId="3" fillId="0" borderId="0" xfId="0" applyFont="1" applyAlignment="1">
      <alignment horizontal="left" wrapText="1"/>
    </xf>
    <xf numFmtId="0" fontId="2" fillId="0" borderId="0" xfId="0" applyFont="1" applyBorder="1" applyAlignment="1">
      <alignment horizontal="center"/>
    </xf>
    <xf numFmtId="0" fontId="2" fillId="0" borderId="0" xfId="0" applyFont="1" applyBorder="1" applyAlignment="1">
      <alignment horizontal="center" wrapText="1"/>
    </xf>
    <xf numFmtId="0" fontId="4" fillId="0" borderId="0" xfId="0" applyFont="1" applyFill="1" applyBorder="1" applyAlignment="1">
      <alignment horizontal="center" wrapText="1"/>
    </xf>
    <xf numFmtId="0" fontId="2" fillId="0" borderId="0" xfId="0" applyFont="1" applyFill="1" applyBorder="1" applyAlignment="1">
      <alignment horizontal="center" wrapText="1"/>
    </xf>
    <xf numFmtId="0" fontId="4" fillId="0" borderId="0" xfId="0" applyFont="1" applyFill="1" applyBorder="1" applyAlignment="1">
      <alignment horizontal="left" wrapText="1"/>
    </xf>
    <xf numFmtId="0" fontId="2" fillId="0" borderId="0" xfId="0" applyFont="1" applyBorder="1" applyAlignment="1">
      <alignment horizontal="left"/>
    </xf>
    <xf numFmtId="0" fontId="2" fillId="2" borderId="0" xfId="0" applyFont="1" applyFill="1" applyBorder="1" applyAlignment="1">
      <alignment horizontal="center" wrapText="1"/>
    </xf>
    <xf numFmtId="0" fontId="3" fillId="0" borderId="0"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lignment horizontal="center"/>
    </xf>
    <xf numFmtId="0" fontId="3" fillId="7" borderId="0" xfId="0" applyFont="1" applyFill="1" applyBorder="1" applyAlignment="1">
      <alignment horizontal="center"/>
    </xf>
    <xf numFmtId="0" fontId="3" fillId="7" borderId="8" xfId="0" applyFont="1" applyFill="1" applyBorder="1" applyAlignment="1">
      <alignment horizontal="center"/>
    </xf>
    <xf numFmtId="0" fontId="3" fillId="7" borderId="4" xfId="0" applyFont="1" applyFill="1" applyBorder="1" applyAlignment="1">
      <alignment wrapText="1"/>
    </xf>
    <xf numFmtId="0" fontId="3" fillId="0" borderId="3" xfId="0" applyFont="1" applyBorder="1" applyAlignment="1">
      <alignment horizontal="left" wrapText="1"/>
    </xf>
    <xf numFmtId="0" fontId="3" fillId="0" borderId="3" xfId="0" applyFont="1" applyBorder="1" applyAlignment="1">
      <alignment horizontal="center"/>
    </xf>
    <xf numFmtId="49" fontId="3" fillId="6" borderId="0" xfId="0" applyNumberFormat="1" applyFont="1" applyFill="1" applyAlignment="1">
      <alignment horizontal="center" wrapText="1"/>
    </xf>
    <xf numFmtId="49" fontId="3" fillId="0" borderId="0" xfId="0" applyNumberFormat="1" applyFont="1" applyFill="1" applyAlignment="1">
      <alignment horizontal="center" wrapText="1"/>
    </xf>
    <xf numFmtId="0" fontId="3" fillId="6" borderId="0" xfId="0" applyFont="1" applyFill="1" applyAlignment="1">
      <alignment wrapText="1"/>
    </xf>
    <xf numFmtId="0" fontId="2" fillId="0" borderId="0" xfId="0" applyFont="1" applyFill="1" applyBorder="1" applyAlignment="1">
      <alignment horizontal="left" wrapText="1"/>
    </xf>
    <xf numFmtId="49" fontId="2" fillId="0" borderId="0" xfId="0" applyNumberFormat="1" applyFont="1" applyFill="1" applyBorder="1" applyAlignment="1">
      <alignment horizontal="center" wrapText="1"/>
    </xf>
    <xf numFmtId="0" fontId="2" fillId="0" borderId="0" xfId="0" applyFont="1" applyBorder="1" applyAlignment="1">
      <alignment horizontal="left" wrapText="1"/>
    </xf>
    <xf numFmtId="0" fontId="2" fillId="0" borderId="2" xfId="0" applyFont="1" applyFill="1" applyBorder="1" applyAlignment="1">
      <alignment horizontal="left"/>
    </xf>
    <xf numFmtId="49" fontId="3" fillId="0" borderId="3" xfId="0" applyNumberFormat="1" applyFont="1" applyFill="1" applyBorder="1" applyAlignment="1">
      <alignment horizontal="center" wrapText="1"/>
    </xf>
    <xf numFmtId="0" fontId="3" fillId="0" borderId="3" xfId="0" applyFont="1" applyBorder="1" applyAlignment="1">
      <alignment wrapText="1"/>
    </xf>
    <xf numFmtId="14" fontId="3" fillId="0" borderId="3" xfId="0" applyNumberFormat="1" applyFont="1" applyBorder="1" applyAlignment="1">
      <alignment horizontal="left"/>
    </xf>
    <xf numFmtId="0" fontId="2" fillId="0" borderId="5" xfId="0" applyFont="1" applyFill="1" applyBorder="1" applyAlignment="1">
      <alignment horizontal="left"/>
    </xf>
    <xf numFmtId="49" fontId="3" fillId="0" borderId="0" xfId="0" applyNumberFormat="1" applyFont="1" applyFill="1" applyBorder="1" applyAlignment="1">
      <alignment horizontal="center" wrapText="1"/>
    </xf>
    <xf numFmtId="3" fontId="3" fillId="0" borderId="0" xfId="0" applyNumberFormat="1"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wrapText="1"/>
    </xf>
    <xf numFmtId="14" fontId="3" fillId="0" borderId="0" xfId="0" applyNumberFormat="1" applyFont="1" applyBorder="1" applyAlignment="1">
      <alignment horizontal="left"/>
    </xf>
    <xf numFmtId="0" fontId="2" fillId="0" borderId="7" xfId="0" applyFont="1" applyFill="1" applyBorder="1" applyAlignment="1">
      <alignment horizontal="left"/>
    </xf>
    <xf numFmtId="49" fontId="3" fillId="0" borderId="8" xfId="0" applyNumberFormat="1" applyFont="1" applyFill="1" applyBorder="1" applyAlignment="1">
      <alignment horizontal="center" wrapText="1"/>
    </xf>
    <xf numFmtId="3" fontId="3" fillId="0" borderId="8" xfId="0" applyNumberFormat="1" applyFont="1" applyBorder="1" applyAlignment="1">
      <alignment horizontal="center"/>
    </xf>
    <xf numFmtId="0" fontId="3" fillId="0" borderId="8" xfId="0" applyFont="1" applyBorder="1" applyAlignment="1">
      <alignment horizontal="left" wrapText="1"/>
    </xf>
    <xf numFmtId="0" fontId="3" fillId="0" borderId="8" xfId="0" applyFont="1" applyBorder="1" applyAlignment="1">
      <alignment wrapText="1"/>
    </xf>
    <xf numFmtId="14" fontId="3" fillId="0" borderId="8" xfId="0" applyNumberFormat="1" applyFont="1" applyBorder="1" applyAlignment="1">
      <alignment horizontal="left"/>
    </xf>
    <xf numFmtId="0" fontId="3" fillId="0" borderId="3" xfId="0" applyFont="1" applyBorder="1" applyAlignment="1">
      <alignment horizontal="left"/>
    </xf>
    <xf numFmtId="0" fontId="2" fillId="2" borderId="0" xfId="0" applyFont="1" applyFill="1" applyBorder="1" applyAlignment="1">
      <alignment horizontal="left" wrapText="1"/>
    </xf>
    <xf numFmtId="0" fontId="3" fillId="6" borderId="0" xfId="0" applyFont="1" applyFill="1" applyAlignment="1">
      <alignment horizontal="left" wrapText="1"/>
    </xf>
    <xf numFmtId="0" fontId="3" fillId="7" borderId="3" xfId="0" applyFont="1" applyFill="1" applyBorder="1" applyAlignment="1">
      <alignment horizontal="left"/>
    </xf>
    <xf numFmtId="0" fontId="3" fillId="7" borderId="3" xfId="0" applyFont="1" applyFill="1" applyBorder="1" applyAlignment="1">
      <alignment horizontal="left" wrapText="1"/>
    </xf>
    <xf numFmtId="0" fontId="3" fillId="7" borderId="4" xfId="0" applyFont="1" applyFill="1" applyBorder="1" applyAlignment="1">
      <alignment horizontal="center"/>
    </xf>
    <xf numFmtId="0" fontId="3" fillId="7" borderId="0" xfId="0" applyFont="1" applyFill="1" applyBorder="1" applyAlignment="1">
      <alignment horizontal="left" wrapText="1"/>
    </xf>
    <xf numFmtId="0" fontId="3" fillId="7" borderId="6" xfId="0" applyFont="1" applyFill="1" applyBorder="1" applyAlignment="1">
      <alignment horizontal="center"/>
    </xf>
    <xf numFmtId="0" fontId="3" fillId="7" borderId="8" xfId="0" applyFont="1" applyFill="1" applyBorder="1" applyAlignment="1">
      <alignment horizontal="left" wrapText="1"/>
    </xf>
    <xf numFmtId="0" fontId="3" fillId="7" borderId="9" xfId="0" applyFont="1" applyFill="1" applyBorder="1" applyAlignment="1">
      <alignment horizontal="center"/>
    </xf>
    <xf numFmtId="0" fontId="8" fillId="8" borderId="3" xfId="0" applyFont="1" applyFill="1" applyBorder="1" applyAlignment="1">
      <alignment horizontal="center"/>
    </xf>
    <xf numFmtId="0" fontId="8" fillId="8" borderId="3" xfId="0" applyFont="1" applyFill="1" applyBorder="1" applyAlignment="1">
      <alignment horizontal="left" wrapText="1"/>
    </xf>
    <xf numFmtId="0" fontId="8" fillId="8" borderId="4" xfId="0" applyFont="1" applyFill="1" applyBorder="1" applyAlignment="1">
      <alignment horizontal="center"/>
    </xf>
    <xf numFmtId="0" fontId="8" fillId="8" borderId="0" xfId="0" applyFont="1" applyFill="1" applyBorder="1" applyAlignment="1">
      <alignment horizontal="center"/>
    </xf>
    <xf numFmtId="0" fontId="8" fillId="8" borderId="6" xfId="0" applyFont="1" applyFill="1" applyBorder="1" applyAlignment="1">
      <alignment horizontal="center"/>
    </xf>
    <xf numFmtId="0" fontId="8" fillId="8" borderId="8" xfId="0" applyFont="1" applyFill="1" applyBorder="1" applyAlignment="1">
      <alignment horizontal="center"/>
    </xf>
    <xf numFmtId="0" fontId="8" fillId="8" borderId="8" xfId="0" applyFont="1" applyFill="1" applyBorder="1" applyAlignment="1">
      <alignment horizontal="left" wrapText="1"/>
    </xf>
    <xf numFmtId="0" fontId="8" fillId="8" borderId="9" xfId="0" applyFont="1" applyFill="1" applyBorder="1" applyAlignment="1">
      <alignment horizontal="center"/>
    </xf>
    <xf numFmtId="0" fontId="3" fillId="8" borderId="3" xfId="0" applyFont="1" applyFill="1" applyBorder="1" applyAlignment="1">
      <alignment horizontal="center"/>
    </xf>
    <xf numFmtId="0" fontId="3" fillId="8" borderId="3" xfId="0" applyFont="1" applyFill="1" applyBorder="1" applyAlignment="1">
      <alignment horizontal="left" wrapText="1"/>
    </xf>
    <xf numFmtId="0" fontId="3" fillId="8" borderId="4" xfId="0" applyFont="1" applyFill="1" applyBorder="1" applyAlignment="1">
      <alignment horizontal="center"/>
    </xf>
    <xf numFmtId="0" fontId="3" fillId="8" borderId="0" xfId="0" applyFont="1" applyFill="1" applyBorder="1" applyAlignment="1">
      <alignment horizontal="center"/>
    </xf>
    <xf numFmtId="0" fontId="3" fillId="8" borderId="0" xfId="0" applyFont="1" applyFill="1" applyBorder="1" applyAlignment="1">
      <alignment horizontal="left" wrapText="1"/>
    </xf>
    <xf numFmtId="0" fontId="3" fillId="8" borderId="6" xfId="0" applyFont="1" applyFill="1" applyBorder="1" applyAlignment="1">
      <alignment horizontal="center"/>
    </xf>
    <xf numFmtId="0" fontId="3" fillId="8" borderId="8" xfId="0" applyFont="1" applyFill="1" applyBorder="1" applyAlignment="1">
      <alignment horizontal="center"/>
    </xf>
    <xf numFmtId="0" fontId="3" fillId="8" borderId="8" xfId="0" applyFont="1" applyFill="1" applyBorder="1" applyAlignment="1">
      <alignment horizontal="left" wrapText="1"/>
    </xf>
    <xf numFmtId="0" fontId="3" fillId="8" borderId="9" xfId="0" applyFont="1" applyFill="1" applyBorder="1" applyAlignment="1">
      <alignment horizontal="center"/>
    </xf>
    <xf numFmtId="0" fontId="3" fillId="7" borderId="3" xfId="0" applyFont="1" applyFill="1" applyBorder="1" applyAlignment="1">
      <alignment wrapText="1"/>
    </xf>
    <xf numFmtId="0" fontId="8" fillId="8" borderId="3" xfId="0" applyFont="1" applyFill="1" applyBorder="1" applyAlignment="1">
      <alignment wrapText="1"/>
    </xf>
    <xf numFmtId="0" fontId="3" fillId="8" borderId="11" xfId="0" applyFont="1" applyFill="1" applyBorder="1" applyAlignment="1">
      <alignment horizontal="center"/>
    </xf>
    <xf numFmtId="0" fontId="3" fillId="9" borderId="11" xfId="0" applyFont="1" applyFill="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8" borderId="10" xfId="0" applyFont="1" applyFill="1" applyBorder="1" applyAlignment="1">
      <alignment horizontal="center"/>
    </xf>
    <xf numFmtId="0" fontId="3" fillId="8" borderId="12" xfId="0" applyFont="1" applyFill="1" applyBorder="1" applyAlignment="1">
      <alignment horizontal="center"/>
    </xf>
    <xf numFmtId="0" fontId="3" fillId="9" borderId="10" xfId="0" applyFont="1" applyFill="1" applyBorder="1" applyAlignment="1">
      <alignment horizontal="center"/>
    </xf>
    <xf numFmtId="0" fontId="3" fillId="9" borderId="12" xfId="0" applyFont="1" applyFill="1" applyBorder="1" applyAlignment="1">
      <alignment horizontal="center"/>
    </xf>
    <xf numFmtId="0" fontId="2" fillId="3" borderId="0" xfId="0" applyFont="1" applyFill="1" applyBorder="1" applyAlignment="1">
      <alignment horizontal="center" wrapText="1"/>
    </xf>
    <xf numFmtId="0" fontId="3" fillId="0" borderId="11" xfId="0" applyFont="1" applyBorder="1" applyAlignment="1">
      <alignment wrapText="1"/>
    </xf>
    <xf numFmtId="14" fontId="3" fillId="0" borderId="11" xfId="0" applyNumberFormat="1" applyFont="1" applyBorder="1" applyAlignment="1">
      <alignment horizontal="left"/>
    </xf>
    <xf numFmtId="0" fontId="3" fillId="0" borderId="11" xfId="0" applyFont="1" applyBorder="1" applyAlignment="1">
      <alignment horizontal="left" wrapText="1"/>
    </xf>
    <xf numFmtId="0" fontId="3" fillId="9" borderId="0" xfId="0" applyFont="1" applyFill="1" applyBorder="1" applyAlignment="1">
      <alignment horizontal="center"/>
    </xf>
    <xf numFmtId="0" fontId="3" fillId="9" borderId="8" xfId="0" applyFont="1" applyFill="1" applyBorder="1" applyAlignment="1">
      <alignment horizontal="center"/>
    </xf>
    <xf numFmtId="0" fontId="3" fillId="0" borderId="3" xfId="0" applyFont="1" applyBorder="1" applyAlignment="1">
      <alignment horizontal="center" wrapText="1"/>
    </xf>
    <xf numFmtId="0" fontId="3" fillId="9" borderId="6" xfId="0" applyFont="1" applyFill="1" applyBorder="1" applyAlignment="1">
      <alignment horizontal="center"/>
    </xf>
    <xf numFmtId="0" fontId="5" fillId="9" borderId="8" xfId="0" applyFont="1" applyFill="1" applyBorder="1" applyAlignment="1">
      <alignment horizontal="center"/>
    </xf>
    <xf numFmtId="0" fontId="3" fillId="9" borderId="9" xfId="0" applyFont="1" applyFill="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49" fontId="3" fillId="0" borderId="0" xfId="0" applyNumberFormat="1" applyFont="1" applyBorder="1" applyAlignment="1">
      <alignment horizontal="center"/>
    </xf>
    <xf numFmtId="0" fontId="3" fillId="0" borderId="7" xfId="0" applyFont="1" applyBorder="1" applyAlignment="1">
      <alignment horizontal="center"/>
    </xf>
    <xf numFmtId="49" fontId="3" fillId="0" borderId="8" xfId="0" applyNumberFormat="1" applyFont="1" applyBorder="1" applyAlignment="1">
      <alignment horizontal="center"/>
    </xf>
    <xf numFmtId="49" fontId="3" fillId="0" borderId="11" xfId="0" applyNumberFormat="1" applyFont="1" applyBorder="1" applyAlignment="1">
      <alignment horizontal="center"/>
    </xf>
    <xf numFmtId="0" fontId="3" fillId="9" borderId="8" xfId="0" applyFont="1" applyFill="1" applyBorder="1" applyAlignment="1">
      <alignment horizontal="center" wrapText="1"/>
    </xf>
    <xf numFmtId="0" fontId="3" fillId="9" borderId="0" xfId="0" applyFont="1" applyFill="1" applyBorder="1" applyAlignment="1">
      <alignment horizontal="center" wrapText="1"/>
    </xf>
    <xf numFmtId="0" fontId="3" fillId="9" borderId="11" xfId="0" applyFont="1" applyFill="1" applyBorder="1" applyAlignment="1">
      <alignment horizontal="center" wrapText="1"/>
    </xf>
    <xf numFmtId="0" fontId="8" fillId="9" borderId="11" xfId="0" applyFont="1" applyFill="1" applyBorder="1" applyAlignment="1">
      <alignment horizontal="center"/>
    </xf>
    <xf numFmtId="0" fontId="4" fillId="2" borderId="0" xfId="0" applyFont="1" applyFill="1" applyBorder="1" applyAlignment="1">
      <alignment horizontal="center" wrapText="1"/>
    </xf>
    <xf numFmtId="0" fontId="4" fillId="3" borderId="0" xfId="0" applyFont="1" applyFill="1" applyBorder="1" applyAlignment="1">
      <alignment horizontal="center" wrapText="1"/>
    </xf>
    <xf numFmtId="0" fontId="4" fillId="4" borderId="0" xfId="0" applyFont="1" applyFill="1" applyBorder="1" applyAlignment="1">
      <alignment horizontal="center" wrapText="1"/>
    </xf>
    <xf numFmtId="0" fontId="2" fillId="4" borderId="0" xfId="0" applyFont="1" applyFill="1" applyBorder="1" applyAlignment="1">
      <alignment horizontal="center" wrapText="1"/>
    </xf>
    <xf numFmtId="0" fontId="4" fillId="0" borderId="0" xfId="0" applyFont="1" applyBorder="1" applyAlignment="1">
      <alignment horizontal="left" wrapText="1"/>
    </xf>
    <xf numFmtId="0" fontId="3" fillId="9" borderId="0" xfId="0" applyFont="1" applyFill="1" applyBorder="1" applyAlignment="1">
      <alignment wrapText="1"/>
    </xf>
    <xf numFmtId="0" fontId="3" fillId="0" borderId="0" xfId="0" applyFont="1" applyBorder="1" applyAlignment="1">
      <alignment horizontal="center" wrapText="1"/>
    </xf>
    <xf numFmtId="0" fontId="3" fillId="8" borderId="0" xfId="0" applyFont="1" applyFill="1" applyBorder="1" applyAlignment="1">
      <alignment horizontal="center" wrapText="1"/>
    </xf>
    <xf numFmtId="0" fontId="3" fillId="8" borderId="8" xfId="0" applyFont="1" applyFill="1" applyBorder="1" applyAlignment="1">
      <alignment horizontal="center" wrapText="1"/>
    </xf>
    <xf numFmtId="0" fontId="3" fillId="0" borderId="8" xfId="0" applyFont="1" applyBorder="1" applyAlignment="1">
      <alignment horizontal="center" wrapText="1"/>
    </xf>
    <xf numFmtId="0" fontId="3" fillId="8" borderId="6" xfId="0" applyFont="1" applyFill="1" applyBorder="1" applyAlignment="1">
      <alignment wrapText="1"/>
    </xf>
    <xf numFmtId="0" fontId="3" fillId="9" borderId="6" xfId="0" applyFont="1" applyFill="1" applyBorder="1" applyAlignment="1">
      <alignment wrapText="1"/>
    </xf>
    <xf numFmtId="0" fontId="3" fillId="9" borderId="9" xfId="0" applyFont="1" applyFill="1" applyBorder="1" applyAlignment="1">
      <alignment wrapText="1"/>
    </xf>
    <xf numFmtId="0" fontId="3" fillId="9" borderId="12" xfId="0" applyFont="1" applyFill="1" applyBorder="1" applyAlignment="1">
      <alignment wrapText="1"/>
    </xf>
    <xf numFmtId="0" fontId="3" fillId="9" borderId="3" xfId="0" applyFont="1" applyFill="1" applyBorder="1" applyAlignment="1">
      <alignment horizontal="center"/>
    </xf>
    <xf numFmtId="0" fontId="3" fillId="9" borderId="3" xfId="0" applyFont="1" applyFill="1" applyBorder="1" applyAlignment="1">
      <alignment horizontal="center" wrapText="1"/>
    </xf>
    <xf numFmtId="0" fontId="3" fillId="9" borderId="9" xfId="0" applyFont="1" applyFill="1" applyBorder="1" applyAlignment="1">
      <alignment horizontal="center" wrapText="1"/>
    </xf>
    <xf numFmtId="0" fontId="3" fillId="8" borderId="3" xfId="0" applyFont="1" applyFill="1" applyBorder="1" applyAlignment="1">
      <alignment wrapText="1"/>
    </xf>
    <xf numFmtId="0" fontId="3" fillId="8" borderId="3" xfId="0" applyFont="1" applyFill="1" applyBorder="1" applyAlignment="1">
      <alignment horizontal="center" wrapText="1"/>
    </xf>
    <xf numFmtId="49" fontId="3" fillId="0" borderId="3" xfId="0" applyNumberFormat="1" applyFont="1" applyBorder="1" applyAlignment="1">
      <alignment horizontal="center"/>
    </xf>
    <xf numFmtId="0" fontId="3" fillId="8" borderId="0" xfId="0" applyFont="1" applyFill="1" applyBorder="1" applyAlignment="1">
      <alignment wrapText="1"/>
    </xf>
    <xf numFmtId="0" fontId="3" fillId="0" borderId="0" xfId="0" applyFont="1" applyFill="1" applyBorder="1" applyAlignment="1">
      <alignment horizontal="center" wrapText="1"/>
    </xf>
    <xf numFmtId="0" fontId="3" fillId="8" borderId="8" xfId="0" applyFont="1" applyFill="1" applyBorder="1" applyAlignment="1">
      <alignment wrapText="1"/>
    </xf>
    <xf numFmtId="0" fontId="3" fillId="9" borderId="4" xfId="0" applyFont="1" applyFill="1" applyBorder="1" applyAlignment="1">
      <alignment horizontal="center"/>
    </xf>
    <xf numFmtId="0" fontId="0" fillId="0" borderId="0" xfId="0" applyFill="1"/>
    <xf numFmtId="0" fontId="3" fillId="0" borderId="0" xfId="0" applyFont="1" applyFill="1" applyBorder="1" applyAlignment="1">
      <alignment horizontal="center"/>
    </xf>
    <xf numFmtId="0" fontId="3" fillId="0" borderId="0" xfId="0" applyFont="1" applyFill="1" applyBorder="1" applyAlignment="1">
      <alignment wrapText="1"/>
    </xf>
    <xf numFmtId="0" fontId="3" fillId="0" borderId="5" xfId="0" applyFont="1" applyFill="1" applyBorder="1" applyAlignment="1">
      <alignment horizontal="center"/>
    </xf>
    <xf numFmtId="14" fontId="3" fillId="0" borderId="0" xfId="0" applyNumberFormat="1" applyFont="1" applyFill="1" applyBorder="1" applyAlignment="1">
      <alignment horizontal="left"/>
    </xf>
    <xf numFmtId="49" fontId="3" fillId="8" borderId="3" xfId="0" applyNumberFormat="1" applyFont="1" applyFill="1" applyBorder="1" applyAlignment="1">
      <alignment horizontal="center"/>
    </xf>
    <xf numFmtId="49" fontId="2" fillId="5" borderId="0" xfId="0" applyNumberFormat="1" applyFont="1" applyFill="1" applyAlignment="1">
      <alignment horizontal="center"/>
    </xf>
    <xf numFmtId="49" fontId="2" fillId="0" borderId="0" xfId="0" applyNumberFormat="1" applyFont="1" applyBorder="1" applyAlignment="1">
      <alignment horizontal="center" wrapText="1"/>
    </xf>
    <xf numFmtId="49" fontId="3" fillId="8" borderId="0" xfId="0" applyNumberFormat="1" applyFont="1" applyFill="1" applyBorder="1" applyAlignment="1">
      <alignment horizontal="center"/>
    </xf>
    <xf numFmtId="49" fontId="3" fillId="8" borderId="8" xfId="0" applyNumberFormat="1" applyFont="1" applyFill="1" applyBorder="1" applyAlignment="1">
      <alignment horizontal="center"/>
    </xf>
    <xf numFmtId="49" fontId="3" fillId="9" borderId="3" xfId="0" applyNumberFormat="1" applyFont="1" applyFill="1" applyBorder="1" applyAlignment="1">
      <alignment horizontal="center"/>
    </xf>
    <xf numFmtId="49" fontId="3" fillId="9" borderId="0" xfId="0" applyNumberFormat="1" applyFont="1" applyFill="1" applyBorder="1" applyAlignment="1">
      <alignment horizontal="center"/>
    </xf>
    <xf numFmtId="49" fontId="3" fillId="9" borderId="8" xfId="0" applyNumberFormat="1" applyFont="1" applyFill="1" applyBorder="1" applyAlignment="1">
      <alignment horizontal="center"/>
    </xf>
    <xf numFmtId="49" fontId="3" fillId="0" borderId="0" xfId="0" applyNumberFormat="1" applyFont="1" applyAlignment="1">
      <alignment horizontal="center"/>
    </xf>
    <xf numFmtId="49" fontId="3" fillId="9" borderId="11" xfId="0" applyNumberFormat="1" applyFont="1" applyFill="1" applyBorder="1" applyAlignment="1">
      <alignment horizontal="center"/>
    </xf>
    <xf numFmtId="49" fontId="3" fillId="0" borderId="0" xfId="0" applyNumberFormat="1" applyFont="1" applyFill="1" applyAlignment="1">
      <alignment horizontal="center"/>
    </xf>
    <xf numFmtId="0" fontId="3" fillId="0" borderId="3" xfId="0" applyFont="1" applyFill="1" applyBorder="1" applyAlignment="1">
      <alignment horizontal="center"/>
    </xf>
    <xf numFmtId="0" fontId="3" fillId="0" borderId="3" xfId="0" applyFont="1" applyFill="1" applyBorder="1" applyAlignment="1">
      <alignment wrapText="1"/>
    </xf>
    <xf numFmtId="0" fontId="3" fillId="0" borderId="3" xfId="0" applyFont="1" applyFill="1" applyBorder="1" applyAlignment="1">
      <alignment horizontal="center" wrapText="1"/>
    </xf>
    <xf numFmtId="0" fontId="3" fillId="0" borderId="8" xfId="0" applyFont="1" applyFill="1" applyBorder="1" applyAlignment="1">
      <alignment horizontal="center"/>
    </xf>
    <xf numFmtId="0" fontId="3" fillId="0" borderId="8" xfId="0" applyFont="1" applyFill="1" applyBorder="1" applyAlignment="1">
      <alignment wrapText="1"/>
    </xf>
    <xf numFmtId="0" fontId="3" fillId="0" borderId="8" xfId="0" applyFont="1" applyFill="1" applyBorder="1" applyAlignment="1">
      <alignment horizontal="center" wrapText="1"/>
    </xf>
    <xf numFmtId="0" fontId="3" fillId="10" borderId="3" xfId="0" applyFont="1" applyFill="1" applyBorder="1" applyAlignment="1">
      <alignment horizontal="center"/>
    </xf>
    <xf numFmtId="49" fontId="3" fillId="10" borderId="3" xfId="0" applyNumberFormat="1" applyFont="1" applyFill="1" applyBorder="1" applyAlignment="1">
      <alignment horizontal="center"/>
    </xf>
    <xf numFmtId="0" fontId="3" fillId="10" borderId="3" xfId="0" applyFont="1" applyFill="1" applyBorder="1" applyAlignment="1">
      <alignment horizontal="center" wrapText="1"/>
    </xf>
    <xf numFmtId="0" fontId="3" fillId="10" borderId="4" xfId="0" applyFont="1" applyFill="1" applyBorder="1" applyAlignment="1">
      <alignment horizontal="center"/>
    </xf>
    <xf numFmtId="0" fontId="3" fillId="10" borderId="0" xfId="0" applyFont="1" applyFill="1" applyBorder="1" applyAlignment="1">
      <alignment horizontal="center"/>
    </xf>
    <xf numFmtId="49" fontId="3" fillId="10" borderId="0" xfId="0" applyNumberFormat="1" applyFont="1" applyFill="1" applyBorder="1" applyAlignment="1">
      <alignment horizontal="center"/>
    </xf>
    <xf numFmtId="0" fontId="3" fillId="10" borderId="0" xfId="0" applyFont="1" applyFill="1" applyBorder="1" applyAlignment="1">
      <alignment horizontal="center" wrapText="1"/>
    </xf>
    <xf numFmtId="0" fontId="3" fillId="10" borderId="6" xfId="0" applyFont="1" applyFill="1" applyBorder="1" applyAlignment="1">
      <alignment horizontal="center"/>
    </xf>
    <xf numFmtId="0" fontId="3" fillId="10" borderId="8" xfId="0" applyFont="1" applyFill="1" applyBorder="1" applyAlignment="1">
      <alignment horizontal="center"/>
    </xf>
    <xf numFmtId="49" fontId="3" fillId="10" borderId="8" xfId="0" applyNumberFormat="1" applyFont="1" applyFill="1" applyBorder="1" applyAlignment="1">
      <alignment horizontal="center"/>
    </xf>
    <xf numFmtId="0" fontId="3" fillId="10" borderId="8" xfId="0" applyFont="1" applyFill="1" applyBorder="1" applyAlignment="1">
      <alignment horizontal="center" wrapText="1"/>
    </xf>
    <xf numFmtId="0" fontId="3" fillId="10" borderId="9" xfId="0" applyFont="1" applyFill="1" applyBorder="1" applyAlignment="1">
      <alignment horizontal="center"/>
    </xf>
    <xf numFmtId="0" fontId="3" fillId="0" borderId="2" xfId="0" applyFont="1" applyFill="1" applyBorder="1" applyAlignment="1">
      <alignment horizontal="center"/>
    </xf>
    <xf numFmtId="14" fontId="3" fillId="0" borderId="3" xfId="0" applyNumberFormat="1" applyFont="1" applyFill="1" applyBorder="1" applyAlignment="1">
      <alignment horizontal="left"/>
    </xf>
    <xf numFmtId="0" fontId="3" fillId="0" borderId="7" xfId="0" applyFont="1" applyFill="1" applyBorder="1" applyAlignment="1">
      <alignment horizontal="center"/>
    </xf>
    <xf numFmtId="14" fontId="3" fillId="0" borderId="8" xfId="0" applyNumberFormat="1" applyFont="1" applyFill="1" applyBorder="1" applyAlignment="1">
      <alignment horizontal="left"/>
    </xf>
    <xf numFmtId="49" fontId="3" fillId="0" borderId="0" xfId="0" applyNumberFormat="1" applyFont="1" applyFill="1" applyBorder="1" applyAlignment="1">
      <alignment horizontal="center"/>
    </xf>
    <xf numFmtId="0" fontId="3" fillId="10" borderId="8" xfId="0" applyFont="1" applyFill="1" applyBorder="1" applyAlignment="1">
      <alignment wrapText="1"/>
    </xf>
    <xf numFmtId="0" fontId="3" fillId="10" borderId="6" xfId="0" applyFont="1" applyFill="1" applyBorder="1" applyAlignment="1">
      <alignment horizontal="center" wrapText="1"/>
    </xf>
    <xf numFmtId="0" fontId="3" fillId="0" borderId="11" xfId="0" applyFont="1" applyFill="1" applyBorder="1" applyAlignment="1">
      <alignment horizontal="center" wrapText="1"/>
    </xf>
    <xf numFmtId="49" fontId="2" fillId="6" borderId="0" xfId="0" applyNumberFormat="1" applyFont="1" applyFill="1" applyAlignment="1">
      <alignment horizontal="center"/>
    </xf>
    <xf numFmtId="49" fontId="2" fillId="4" borderId="0" xfId="0" applyNumberFormat="1" applyFont="1" applyFill="1" applyBorder="1" applyAlignment="1">
      <alignment horizontal="center" wrapText="1"/>
    </xf>
    <xf numFmtId="49" fontId="3" fillId="0" borderId="0" xfId="0" applyNumberFormat="1" applyFont="1" applyBorder="1" applyAlignment="1">
      <alignment horizontal="center" wrapText="1"/>
    </xf>
    <xf numFmtId="0" fontId="3" fillId="0" borderId="0" xfId="0" applyFont="1" applyFill="1" applyBorder="1" applyAlignment="1">
      <alignment horizontal="left" wrapText="1"/>
    </xf>
    <xf numFmtId="0" fontId="3" fillId="9" borderId="3" xfId="0" applyFont="1" applyFill="1" applyBorder="1" applyAlignment="1">
      <alignment wrapText="1"/>
    </xf>
    <xf numFmtId="0" fontId="0" fillId="0" borderId="0" xfId="0" applyFont="1" applyFill="1"/>
    <xf numFmtId="0" fontId="3" fillId="0" borderId="8" xfId="0" applyFont="1" applyFill="1" applyBorder="1" applyAlignment="1">
      <alignment horizontal="left" wrapText="1"/>
    </xf>
    <xf numFmtId="0" fontId="3" fillId="9" borderId="6" xfId="0" applyFont="1" applyFill="1" applyBorder="1" applyAlignment="1">
      <alignment horizontal="center" wrapText="1"/>
    </xf>
    <xf numFmtId="0" fontId="3" fillId="0" borderId="0" xfId="0" applyFont="1" applyAlignment="1">
      <alignment horizontal="center" wrapText="1"/>
    </xf>
    <xf numFmtId="14" fontId="3" fillId="0" borderId="0" xfId="0" applyNumberFormat="1" applyFont="1" applyAlignment="1">
      <alignment horizontal="left"/>
    </xf>
    <xf numFmtId="0" fontId="3" fillId="8" borderId="2" xfId="0" applyFont="1" applyFill="1" applyBorder="1" applyAlignment="1">
      <alignment horizontal="center"/>
    </xf>
    <xf numFmtId="0" fontId="3" fillId="8" borderId="5" xfId="0" applyFont="1" applyFill="1" applyBorder="1" applyAlignment="1">
      <alignment horizontal="center"/>
    </xf>
    <xf numFmtId="0" fontId="3" fillId="9" borderId="2" xfId="0" applyFont="1" applyFill="1" applyBorder="1" applyAlignment="1">
      <alignment horizontal="center"/>
    </xf>
    <xf numFmtId="0" fontId="3" fillId="9" borderId="7" xfId="0" applyFont="1" applyFill="1" applyBorder="1" applyAlignment="1">
      <alignment horizontal="center"/>
    </xf>
    <xf numFmtId="0" fontId="3" fillId="9" borderId="5" xfId="0" applyFont="1" applyFill="1" applyBorder="1" applyAlignment="1">
      <alignment horizontal="center"/>
    </xf>
    <xf numFmtId="0" fontId="3" fillId="8" borderId="7" xfId="0" applyFont="1" applyFill="1" applyBorder="1" applyAlignment="1">
      <alignment horizontal="center"/>
    </xf>
    <xf numFmtId="0" fontId="3" fillId="10" borderId="2" xfId="0" applyFont="1" applyFill="1" applyBorder="1" applyAlignment="1">
      <alignment horizontal="center"/>
    </xf>
    <xf numFmtId="0" fontId="3" fillId="10" borderId="5" xfId="0" applyFont="1" applyFill="1" applyBorder="1" applyAlignment="1">
      <alignment horizontal="center"/>
    </xf>
    <xf numFmtId="0" fontId="3" fillId="10" borderId="7" xfId="0" applyFont="1" applyFill="1" applyBorder="1" applyAlignment="1">
      <alignment horizontal="center"/>
    </xf>
    <xf numFmtId="0" fontId="3" fillId="9" borderId="8" xfId="0" applyFont="1" applyFill="1" applyBorder="1" applyAlignment="1">
      <alignment wrapText="1"/>
    </xf>
    <xf numFmtId="0" fontId="3" fillId="0" borderId="11" xfId="0" applyFont="1" applyBorder="1" applyAlignment="1">
      <alignment horizontal="center" wrapText="1"/>
    </xf>
    <xf numFmtId="1" fontId="3" fillId="8" borderId="11" xfId="0" applyNumberFormat="1" applyFont="1" applyFill="1" applyBorder="1" applyAlignment="1">
      <alignment horizontal="center"/>
    </xf>
    <xf numFmtId="0" fontId="3" fillId="8" borderId="11" xfId="0" applyFont="1" applyFill="1" applyBorder="1" applyAlignment="1">
      <alignment horizontal="center" wrapText="1"/>
    </xf>
    <xf numFmtId="0" fontId="3" fillId="10" borderId="9" xfId="0" applyFont="1" applyFill="1" applyBorder="1" applyAlignment="1">
      <alignment horizontal="center" wrapText="1"/>
    </xf>
    <xf numFmtId="49" fontId="3" fillId="0" borderId="8" xfId="0" applyNumberFormat="1" applyFont="1" applyFill="1" applyBorder="1" applyAlignment="1">
      <alignment horizontal="center"/>
    </xf>
    <xf numFmtId="49" fontId="3" fillId="0" borderId="3" xfId="0" applyNumberFormat="1" applyFont="1" applyFill="1" applyBorder="1" applyAlignment="1">
      <alignment horizontal="center"/>
    </xf>
    <xf numFmtId="0" fontId="3" fillId="0" borderId="3" xfId="0" applyFont="1" applyFill="1" applyBorder="1" applyAlignment="1">
      <alignment horizontal="left" wrapText="1"/>
    </xf>
    <xf numFmtId="0" fontId="3" fillId="0" borderId="11" xfId="0" applyFont="1" applyFill="1" applyBorder="1" applyAlignment="1">
      <alignment horizontal="center"/>
    </xf>
    <xf numFmtId="49" fontId="3" fillId="0" borderId="11" xfId="0" applyNumberFormat="1"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left" wrapText="1"/>
    </xf>
    <xf numFmtId="0" fontId="3" fillId="0" borderId="11" xfId="0" applyFont="1" applyFill="1" applyBorder="1" applyAlignment="1">
      <alignment wrapText="1"/>
    </xf>
    <xf numFmtId="14" fontId="3" fillId="0" borderId="11" xfId="0" applyNumberFormat="1" applyFont="1" applyFill="1" applyBorder="1" applyAlignment="1">
      <alignment horizontal="left"/>
    </xf>
    <xf numFmtId="0" fontId="3" fillId="7" borderId="11" xfId="0" applyFont="1" applyFill="1" applyBorder="1" applyAlignment="1">
      <alignment horizontal="center"/>
    </xf>
    <xf numFmtId="0" fontId="0" fillId="0" borderId="0" xfId="0" applyFill="1" applyBorder="1"/>
    <xf numFmtId="0" fontId="8" fillId="0" borderId="0" xfId="0" applyFont="1" applyFill="1" applyBorder="1" applyAlignment="1">
      <alignment horizontal="left" wrapText="1"/>
    </xf>
    <xf numFmtId="0" fontId="8" fillId="7" borderId="0" xfId="0" applyFont="1" applyFill="1" applyBorder="1" applyAlignment="1">
      <alignment horizontal="center"/>
    </xf>
    <xf numFmtId="49" fontId="8" fillId="7" borderId="0" xfId="0" applyNumberFormat="1" applyFont="1" applyFill="1" applyBorder="1" applyAlignment="1">
      <alignment horizontal="center"/>
    </xf>
    <xf numFmtId="0" fontId="8" fillId="7" borderId="5" xfId="0" applyFont="1" applyFill="1" applyBorder="1" applyAlignment="1">
      <alignment horizontal="center"/>
    </xf>
    <xf numFmtId="0" fontId="8" fillId="7" borderId="0" xfId="0" applyFont="1" applyFill="1" applyBorder="1" applyAlignment="1">
      <alignment horizontal="center" wrapText="1"/>
    </xf>
    <xf numFmtId="0" fontId="8" fillId="7" borderId="3" xfId="0" applyFont="1" applyFill="1" applyBorder="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wrapText="1"/>
    </xf>
    <xf numFmtId="0" fontId="8" fillId="7" borderId="8" xfId="0" applyFont="1" applyFill="1" applyBorder="1" applyAlignment="1">
      <alignment horizontal="center"/>
    </xf>
    <xf numFmtId="49" fontId="8" fillId="7" borderId="8" xfId="0" applyNumberFormat="1" applyFont="1" applyFill="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wrapText="1"/>
    </xf>
    <xf numFmtId="0" fontId="8" fillId="7" borderId="6" xfId="0" applyFont="1" applyFill="1" applyBorder="1" applyAlignment="1">
      <alignment horizontal="center" wrapText="1"/>
    </xf>
    <xf numFmtId="0" fontId="8" fillId="7" borderId="9" xfId="0" applyFont="1" applyFill="1" applyBorder="1" applyAlignment="1">
      <alignment horizontal="center" wrapText="1"/>
    </xf>
    <xf numFmtId="49" fontId="5" fillId="0" borderId="0" xfId="0" applyNumberFormat="1" applyFont="1" applyFill="1" applyBorder="1" applyAlignment="1">
      <alignment horizontal="center"/>
    </xf>
    <xf numFmtId="49" fontId="5" fillId="0" borderId="8" xfId="0" applyNumberFormat="1" applyFont="1" applyFill="1" applyBorder="1" applyAlignment="1">
      <alignment horizontal="center"/>
    </xf>
    <xf numFmtId="0" fontId="1" fillId="0" borderId="0" xfId="0" applyFont="1" applyBorder="1"/>
    <xf numFmtId="0" fontId="8" fillId="0" borderId="8" xfId="0" applyFont="1" applyFill="1" applyBorder="1" applyAlignment="1">
      <alignment horizontal="center" wrapText="1"/>
    </xf>
    <xf numFmtId="0" fontId="8" fillId="0" borderId="9" xfId="0" applyFont="1" applyFill="1" applyBorder="1" applyAlignment="1">
      <alignment horizontal="left" wrapText="1"/>
    </xf>
    <xf numFmtId="49" fontId="3" fillId="8" borderId="3" xfId="0" applyNumberFormat="1" applyFont="1" applyFill="1" applyBorder="1" applyAlignment="1">
      <alignment horizontal="center" wrapText="1"/>
    </xf>
    <xf numFmtId="49" fontId="3" fillId="8" borderId="8" xfId="0" applyNumberFormat="1" applyFont="1" applyFill="1" applyBorder="1" applyAlignment="1">
      <alignment horizontal="center" wrapText="1"/>
    </xf>
    <xf numFmtId="0" fontId="8" fillId="8" borderId="8" xfId="0" applyFont="1" applyFill="1" applyBorder="1" applyAlignment="1">
      <alignment horizontal="center" wrapText="1"/>
    </xf>
    <xf numFmtId="0" fontId="8" fillId="8" borderId="9" xfId="0" applyFont="1" applyFill="1" applyBorder="1" applyAlignment="1">
      <alignment horizontal="left" wrapText="1"/>
    </xf>
    <xf numFmtId="0" fontId="8" fillId="0" borderId="3" xfId="0" applyFont="1" applyFill="1" applyBorder="1" applyAlignment="1">
      <alignment horizontal="center" wrapText="1"/>
    </xf>
    <xf numFmtId="0" fontId="3" fillId="0" borderId="2" xfId="0" applyFont="1" applyFill="1" applyBorder="1" applyAlignment="1">
      <alignment horizontal="center" wrapText="1"/>
    </xf>
    <xf numFmtId="0" fontId="8" fillId="0" borderId="3" xfId="0" applyFont="1" applyFill="1" applyBorder="1" applyAlignment="1">
      <alignment horizontal="left" wrapText="1"/>
    </xf>
    <xf numFmtId="14" fontId="8" fillId="0" borderId="3" xfId="0" applyNumberFormat="1" applyFont="1" applyFill="1" applyBorder="1" applyAlignment="1">
      <alignment horizontal="left" wrapText="1"/>
    </xf>
    <xf numFmtId="0" fontId="8" fillId="0" borderId="4" xfId="0" applyFont="1" applyFill="1" applyBorder="1" applyAlignment="1">
      <alignment horizontal="left" wrapText="1"/>
    </xf>
    <xf numFmtId="0" fontId="3" fillId="0" borderId="7" xfId="0" applyFont="1" applyFill="1" applyBorder="1" applyAlignment="1">
      <alignment horizontal="center" wrapText="1"/>
    </xf>
    <xf numFmtId="0" fontId="8" fillId="0" borderId="8" xfId="0" applyFont="1" applyFill="1" applyBorder="1" applyAlignment="1">
      <alignment horizontal="left" wrapText="1"/>
    </xf>
    <xf numFmtId="14" fontId="8" fillId="0" borderId="8" xfId="0" applyNumberFormat="1" applyFont="1" applyFill="1" applyBorder="1" applyAlignment="1">
      <alignment horizontal="left" wrapText="1"/>
    </xf>
    <xf numFmtId="49" fontId="3" fillId="0" borderId="11" xfId="0" applyNumberFormat="1" applyFont="1" applyFill="1" applyBorder="1" applyAlignment="1">
      <alignment horizontal="center" wrapText="1"/>
    </xf>
    <xf numFmtId="49" fontId="3" fillId="7" borderId="3" xfId="0" applyNumberFormat="1" applyFont="1" applyFill="1" applyBorder="1" applyAlignment="1">
      <alignment horizontal="center"/>
    </xf>
    <xf numFmtId="49" fontId="3" fillId="7" borderId="0" xfId="0" applyNumberFormat="1" applyFont="1" applyFill="1" applyBorder="1" applyAlignment="1">
      <alignment horizontal="center"/>
    </xf>
    <xf numFmtId="49" fontId="3" fillId="7" borderId="8" xfId="0" applyNumberFormat="1" applyFont="1" applyFill="1" applyBorder="1" applyAlignment="1">
      <alignment horizontal="center"/>
    </xf>
    <xf numFmtId="0" fontId="3" fillId="9" borderId="4" xfId="0" applyFont="1" applyFill="1" applyBorder="1" applyAlignment="1">
      <alignment wrapText="1"/>
    </xf>
    <xf numFmtId="0" fontId="3" fillId="10" borderId="11" xfId="0" applyFont="1" applyFill="1" applyBorder="1" applyAlignment="1">
      <alignment horizontal="center"/>
    </xf>
    <xf numFmtId="49" fontId="3" fillId="10" borderId="11" xfId="0" applyNumberFormat="1" applyFont="1" applyFill="1" applyBorder="1" applyAlignment="1">
      <alignment horizontal="center"/>
    </xf>
    <xf numFmtId="0" fontId="8" fillId="7" borderId="11" xfId="0" applyFont="1" applyFill="1" applyBorder="1" applyAlignment="1">
      <alignment horizontal="center"/>
    </xf>
    <xf numFmtId="0" fontId="8" fillId="8" borderId="3" xfId="0" applyFont="1" applyFill="1" applyBorder="1" applyAlignment="1">
      <alignment horizontal="center" wrapText="1"/>
    </xf>
    <xf numFmtId="0" fontId="8" fillId="9" borderId="2" xfId="0" applyFont="1" applyFill="1" applyBorder="1" applyAlignment="1">
      <alignment horizontal="center"/>
    </xf>
    <xf numFmtId="0" fontId="8" fillId="9" borderId="3" xfId="0" applyFont="1" applyFill="1" applyBorder="1" applyAlignment="1">
      <alignment horizontal="left" wrapText="1"/>
    </xf>
    <xf numFmtId="0" fontId="8" fillId="9" borderId="3" xfId="0" applyFont="1" applyFill="1" applyBorder="1" applyAlignment="1">
      <alignment horizontal="center"/>
    </xf>
    <xf numFmtId="0" fontId="8" fillId="9" borderId="3" xfId="0" applyFont="1" applyFill="1" applyBorder="1" applyAlignment="1">
      <alignment horizontal="center" wrapText="1"/>
    </xf>
    <xf numFmtId="0" fontId="8" fillId="9" borderId="4" xfId="0" applyFont="1" applyFill="1" applyBorder="1" applyAlignment="1">
      <alignment horizontal="center"/>
    </xf>
    <xf numFmtId="0" fontId="8" fillId="9" borderId="5" xfId="0" applyFont="1" applyFill="1" applyBorder="1" applyAlignment="1">
      <alignment horizontal="center"/>
    </xf>
    <xf numFmtId="0" fontId="8" fillId="9" borderId="0" xfId="0" applyFont="1" applyFill="1" applyBorder="1" applyAlignment="1">
      <alignment horizontal="center"/>
    </xf>
    <xf numFmtId="0" fontId="8" fillId="9" borderId="0" xfId="0" applyFont="1" applyFill="1" applyBorder="1" applyAlignment="1">
      <alignment horizontal="center" wrapText="1"/>
    </xf>
    <xf numFmtId="0" fontId="8" fillId="9" borderId="7" xfId="0" applyFont="1" applyFill="1" applyBorder="1" applyAlignment="1">
      <alignment horizontal="center"/>
    </xf>
    <xf numFmtId="0" fontId="8" fillId="9" borderId="8" xfId="0" applyFont="1" applyFill="1" applyBorder="1" applyAlignment="1">
      <alignment horizontal="center"/>
    </xf>
    <xf numFmtId="0" fontId="8" fillId="9" borderId="8" xfId="0" applyFont="1" applyFill="1" applyBorder="1" applyAlignment="1">
      <alignment horizontal="center" wrapText="1"/>
    </xf>
    <xf numFmtId="0" fontId="3" fillId="7" borderId="10" xfId="0" applyFont="1" applyFill="1" applyBorder="1" applyAlignment="1">
      <alignment horizontal="center"/>
    </xf>
    <xf numFmtId="0" fontId="3" fillId="7" borderId="11" xfId="0" applyFont="1" applyFill="1" applyBorder="1" applyAlignment="1">
      <alignment horizontal="center" wrapText="1"/>
    </xf>
    <xf numFmtId="1" fontId="3" fillId="9" borderId="11" xfId="0" applyNumberFormat="1" applyFont="1" applyFill="1" applyBorder="1" applyAlignment="1">
      <alignment horizontal="center"/>
    </xf>
    <xf numFmtId="0" fontId="3" fillId="8" borderId="4" xfId="0" applyFont="1" applyFill="1" applyBorder="1" applyAlignment="1">
      <alignment horizontal="center" wrapText="1"/>
    </xf>
    <xf numFmtId="0" fontId="3" fillId="8" borderId="9" xfId="0" applyFont="1" applyFill="1" applyBorder="1" applyAlignment="1">
      <alignment horizontal="center" wrapText="1"/>
    </xf>
    <xf numFmtId="49" fontId="3" fillId="8" borderId="11" xfId="0" applyNumberFormat="1" applyFont="1" applyFill="1" applyBorder="1" applyAlignment="1">
      <alignment horizontal="center"/>
    </xf>
    <xf numFmtId="0" fontId="8" fillId="0" borderId="9" xfId="0" applyFont="1" applyBorder="1" applyAlignment="1">
      <alignment horizontal="left" wrapText="1"/>
    </xf>
    <xf numFmtId="14" fontId="8" fillId="0" borderId="8" xfId="0" applyNumberFormat="1" applyFont="1" applyBorder="1" applyAlignment="1">
      <alignment horizontal="left" wrapText="1"/>
    </xf>
    <xf numFmtId="0" fontId="8" fillId="0" borderId="8" xfId="0" applyFont="1" applyBorder="1" applyAlignment="1">
      <alignment horizontal="left" wrapText="1"/>
    </xf>
    <xf numFmtId="0" fontId="8" fillId="0" borderId="8" xfId="0" applyFont="1" applyBorder="1" applyAlignment="1">
      <alignment horizontal="center" wrapText="1"/>
    </xf>
    <xf numFmtId="0" fontId="3" fillId="0" borderId="7" xfId="0" applyFont="1" applyBorder="1" applyAlignment="1">
      <alignment horizontal="center" wrapText="1"/>
    </xf>
    <xf numFmtId="0" fontId="8" fillId="9" borderId="9" xfId="0" applyFont="1" applyFill="1" applyBorder="1" applyAlignment="1">
      <alignment horizontal="center" wrapText="1"/>
    </xf>
    <xf numFmtId="0" fontId="8" fillId="9" borderId="0" xfId="0" applyFont="1" applyFill="1" applyAlignment="1">
      <alignment horizontal="center" wrapText="1"/>
    </xf>
    <xf numFmtId="0" fontId="3" fillId="9" borderId="0" xfId="0" applyFont="1" applyFill="1" applyAlignment="1">
      <alignment horizontal="center" wrapText="1"/>
    </xf>
    <xf numFmtId="0" fontId="3" fillId="9" borderId="0" xfId="0" applyFont="1" applyFill="1" applyAlignment="1">
      <alignment horizontal="center"/>
    </xf>
    <xf numFmtId="0" fontId="8" fillId="0" borderId="6" xfId="0" applyFont="1" applyBorder="1" applyAlignment="1">
      <alignment horizontal="left" wrapText="1"/>
    </xf>
    <xf numFmtId="14" fontId="8" fillId="0" borderId="0" xfId="0" applyNumberFormat="1" applyFont="1" applyAlignment="1">
      <alignment horizontal="left" wrapText="1"/>
    </xf>
    <xf numFmtId="0" fontId="8" fillId="0" borderId="0" xfId="0" applyFont="1" applyAlignment="1">
      <alignment horizontal="left" wrapText="1"/>
    </xf>
    <xf numFmtId="0" fontId="8" fillId="0" borderId="0" xfId="0" applyFont="1" applyAlignment="1">
      <alignment horizontal="center" wrapText="1"/>
    </xf>
    <xf numFmtId="0" fontId="3" fillId="0" borderId="5" xfId="0" applyFont="1" applyBorder="1" applyAlignment="1">
      <alignment horizontal="center" wrapText="1"/>
    </xf>
    <xf numFmtId="0" fontId="8" fillId="9" borderId="6" xfId="0" applyFont="1" applyFill="1" applyBorder="1" applyAlignment="1">
      <alignment horizontal="center" wrapText="1"/>
    </xf>
    <xf numFmtId="0" fontId="8" fillId="0" borderId="4" xfId="0" applyFont="1" applyBorder="1" applyAlignment="1">
      <alignment horizontal="left" wrapText="1"/>
    </xf>
    <xf numFmtId="14" fontId="8" fillId="0" borderId="3" xfId="0" applyNumberFormat="1" applyFont="1" applyBorder="1" applyAlignment="1">
      <alignment horizontal="left" wrapText="1"/>
    </xf>
    <xf numFmtId="0" fontId="8" fillId="0" borderId="3" xfId="0" applyFont="1" applyBorder="1" applyAlignment="1">
      <alignment horizontal="left" wrapText="1"/>
    </xf>
    <xf numFmtId="0" fontId="8" fillId="0" borderId="3" xfId="0" applyFont="1" applyBorder="1" applyAlignment="1">
      <alignment horizontal="center" wrapText="1"/>
    </xf>
    <xf numFmtId="0" fontId="3" fillId="0" borderId="2" xfId="0" applyFont="1" applyBorder="1" applyAlignment="1">
      <alignment horizontal="center" wrapText="1"/>
    </xf>
    <xf numFmtId="0" fontId="8" fillId="9" borderId="4" xfId="0" applyFont="1" applyFill="1" applyBorder="1" applyAlignment="1">
      <alignment horizontal="center" wrapText="1"/>
    </xf>
    <xf numFmtId="0" fontId="8" fillId="0" borderId="12" xfId="0" applyFont="1" applyBorder="1" applyAlignment="1">
      <alignment horizontal="left" wrapText="1"/>
    </xf>
    <xf numFmtId="14" fontId="8" fillId="0" borderId="11" xfId="0" applyNumberFormat="1" applyFont="1" applyBorder="1" applyAlignment="1">
      <alignment horizontal="left" wrapText="1"/>
    </xf>
    <xf numFmtId="0" fontId="8" fillId="0" borderId="11" xfId="0" applyFont="1" applyBorder="1" applyAlignment="1">
      <alignment horizontal="left" wrapText="1"/>
    </xf>
    <xf numFmtId="0" fontId="8" fillId="0" borderId="11" xfId="0" applyFont="1" applyBorder="1" applyAlignment="1">
      <alignment horizontal="center" wrapText="1"/>
    </xf>
    <xf numFmtId="0" fontId="3" fillId="0" borderId="10" xfId="0" applyFont="1" applyBorder="1" applyAlignment="1">
      <alignment horizontal="center" wrapText="1"/>
    </xf>
    <xf numFmtId="0" fontId="8" fillId="9" borderId="12" xfId="0" applyFont="1" applyFill="1" applyBorder="1" applyAlignment="1">
      <alignment horizontal="center" wrapText="1"/>
    </xf>
    <xf numFmtId="0" fontId="8" fillId="9" borderId="11" xfId="0" applyFont="1" applyFill="1" applyBorder="1" applyAlignment="1">
      <alignment horizontal="center" wrapText="1"/>
    </xf>
    <xf numFmtId="0" fontId="8" fillId="9" borderId="4" xfId="0" applyFont="1" applyFill="1" applyBorder="1" applyAlignment="1">
      <alignment horizontal="left" wrapText="1"/>
    </xf>
    <xf numFmtId="0" fontId="8" fillId="9" borderId="6" xfId="0" applyFont="1" applyFill="1" applyBorder="1" applyAlignment="1">
      <alignment horizontal="left" wrapText="1"/>
    </xf>
    <xf numFmtId="0" fontId="8" fillId="9" borderId="9" xfId="0" applyFont="1" applyFill="1" applyBorder="1" applyAlignment="1">
      <alignment horizontal="left" wrapText="1"/>
    </xf>
    <xf numFmtId="0" fontId="8" fillId="8" borderId="12" xfId="0" applyFont="1" applyFill="1" applyBorder="1" applyAlignment="1">
      <alignment horizontal="center" wrapText="1"/>
    </xf>
    <xf numFmtId="0" fontId="8" fillId="8" borderId="11" xfId="0" applyFont="1" applyFill="1" applyBorder="1" applyAlignment="1">
      <alignment horizontal="center" wrapText="1"/>
    </xf>
    <xf numFmtId="49" fontId="8" fillId="0" borderId="3" xfId="0" applyNumberFormat="1" applyFont="1" applyBorder="1" applyAlignment="1">
      <alignment horizontal="center" wrapText="1"/>
    </xf>
    <xf numFmtId="0" fontId="8" fillId="8" borderId="4" xfId="0" applyFont="1" applyFill="1" applyBorder="1" applyAlignment="1">
      <alignment horizontal="center" wrapText="1"/>
    </xf>
    <xf numFmtId="49" fontId="8" fillId="0" borderId="0" xfId="0" applyNumberFormat="1" applyFont="1" applyAlignment="1">
      <alignment horizontal="center" wrapText="1"/>
    </xf>
    <xf numFmtId="0" fontId="8" fillId="8" borderId="6" xfId="0" applyFont="1" applyFill="1" applyBorder="1" applyAlignment="1">
      <alignment horizontal="center" wrapText="1"/>
    </xf>
    <xf numFmtId="0" fontId="8" fillId="8" borderId="0" xfId="0" applyFont="1" applyFill="1" applyAlignment="1">
      <alignment horizontal="center" wrapText="1"/>
    </xf>
    <xf numFmtId="49" fontId="8" fillId="0" borderId="11" xfId="0" applyNumberFormat="1" applyFont="1" applyBorder="1" applyAlignment="1">
      <alignment horizontal="center" wrapText="1"/>
    </xf>
    <xf numFmtId="49" fontId="8" fillId="8" borderId="11" xfId="0" applyNumberFormat="1" applyFont="1" applyFill="1" applyBorder="1" applyAlignment="1">
      <alignment horizontal="center" wrapText="1"/>
    </xf>
    <xf numFmtId="14" fontId="8" fillId="0" borderId="12" xfId="0" applyNumberFormat="1" applyFont="1" applyBorder="1" applyAlignment="1">
      <alignment horizontal="left" wrapText="1"/>
    </xf>
    <xf numFmtId="14" fontId="8" fillId="0" borderId="6" xfId="0" applyNumberFormat="1" applyFont="1" applyBorder="1" applyAlignment="1">
      <alignment horizontal="left" wrapText="1"/>
    </xf>
    <xf numFmtId="49" fontId="8" fillId="8" borderId="0" xfId="0" applyNumberFormat="1" applyFont="1" applyFill="1" applyAlignment="1">
      <alignment horizontal="center" wrapText="1"/>
    </xf>
    <xf numFmtId="0" fontId="8" fillId="8" borderId="0" xfId="0" applyFont="1" applyFill="1" applyBorder="1" applyAlignment="1">
      <alignment horizontal="center" wrapText="1"/>
    </xf>
    <xf numFmtId="0" fontId="8" fillId="8" borderId="6" xfId="0" applyFont="1" applyFill="1" applyBorder="1" applyAlignment="1">
      <alignment horizontal="left" wrapText="1"/>
    </xf>
    <xf numFmtId="0" fontId="8" fillId="0" borderId="10" xfId="0" applyFont="1" applyBorder="1" applyAlignment="1">
      <alignment horizontal="center" wrapText="1"/>
    </xf>
    <xf numFmtId="0" fontId="8" fillId="9" borderId="8" xfId="0" applyFont="1" applyFill="1" applyBorder="1" applyAlignment="1">
      <alignment wrapText="1"/>
    </xf>
    <xf numFmtId="0" fontId="8" fillId="9" borderId="3" xfId="0" applyFont="1" applyFill="1" applyBorder="1" applyAlignment="1">
      <alignment wrapText="1"/>
    </xf>
    <xf numFmtId="49" fontId="8" fillId="0" borderId="8" xfId="0" applyNumberFormat="1" applyFont="1" applyBorder="1" applyAlignment="1">
      <alignment horizontal="center" wrapText="1"/>
    </xf>
    <xf numFmtId="0" fontId="8" fillId="0" borderId="7" xfId="0" applyFont="1" applyBorder="1" applyAlignment="1">
      <alignment horizontal="center" wrapText="1"/>
    </xf>
    <xf numFmtId="49" fontId="8" fillId="9" borderId="8" xfId="0" applyNumberFormat="1" applyFont="1" applyFill="1" applyBorder="1" applyAlignment="1">
      <alignment horizontal="center" wrapText="1"/>
    </xf>
    <xf numFmtId="0" fontId="8" fillId="9" borderId="0" xfId="0" applyFont="1" applyFill="1" applyAlignment="1">
      <alignment horizontal="center"/>
    </xf>
    <xf numFmtId="0" fontId="8" fillId="0" borderId="2" xfId="0" applyFont="1" applyBorder="1" applyAlignment="1">
      <alignment horizontal="center" wrapText="1"/>
    </xf>
    <xf numFmtId="0" fontId="8" fillId="8" borderId="9" xfId="0" applyFont="1" applyFill="1" applyBorder="1" applyAlignment="1">
      <alignment horizontal="center" wrapText="1"/>
    </xf>
    <xf numFmtId="0" fontId="8" fillId="8" borderId="8" xfId="0" applyFont="1" applyFill="1" applyBorder="1" applyAlignment="1">
      <alignment wrapText="1"/>
    </xf>
    <xf numFmtId="0" fontId="8" fillId="0" borderId="0" xfId="0" applyFont="1" applyFill="1" applyBorder="1" applyAlignment="1">
      <alignment wrapText="1"/>
    </xf>
    <xf numFmtId="0" fontId="1" fillId="0" borderId="0" xfId="0" applyFont="1" applyFill="1"/>
    <xf numFmtId="0" fontId="8" fillId="0" borderId="5" xfId="0" applyFont="1" applyBorder="1" applyAlignment="1">
      <alignment horizontal="center" wrapText="1"/>
    </xf>
    <xf numFmtId="1" fontId="8" fillId="8" borderId="11" xfId="0" applyNumberFormat="1" applyFont="1" applyFill="1" applyBorder="1" applyAlignment="1">
      <alignment horizontal="center"/>
    </xf>
    <xf numFmtId="0" fontId="8" fillId="0" borderId="0" xfId="0" applyFont="1" applyFill="1" applyAlignment="1">
      <alignment horizontal="left" wrapText="1"/>
    </xf>
    <xf numFmtId="49" fontId="3" fillId="0" borderId="11" xfId="0" applyNumberFormat="1" applyFont="1" applyBorder="1" applyAlignment="1">
      <alignment horizontal="center" wrapText="1"/>
    </xf>
    <xf numFmtId="0" fontId="8" fillId="9" borderId="9" xfId="0" applyFont="1" applyFill="1" applyBorder="1" applyAlignment="1">
      <alignment horizontal="center"/>
    </xf>
    <xf numFmtId="0" fontId="3" fillId="8" borderId="11" xfId="0" applyFont="1" applyFill="1" applyBorder="1" applyAlignment="1">
      <alignment wrapText="1"/>
    </xf>
    <xf numFmtId="0" fontId="3" fillId="8" borderId="12" xfId="0" applyFont="1" applyFill="1" applyBorder="1" applyAlignment="1">
      <alignment horizontal="center" wrapText="1"/>
    </xf>
    <xf numFmtId="0" fontId="3" fillId="9" borderId="11" xfId="0" applyFont="1" applyFill="1" applyBorder="1" applyAlignment="1">
      <alignment wrapText="1"/>
    </xf>
    <xf numFmtId="0" fontId="3" fillId="9" borderId="10" xfId="0" applyFont="1" applyFill="1" applyBorder="1" applyAlignment="1">
      <alignment wrapText="1"/>
    </xf>
    <xf numFmtId="49" fontId="3" fillId="0" borderId="8" xfId="0" applyNumberFormat="1" applyFont="1" applyBorder="1" applyAlignment="1">
      <alignment horizontal="center" wrapText="1"/>
    </xf>
    <xf numFmtId="0" fontId="3" fillId="9" borderId="7" xfId="0" applyFont="1" applyFill="1" applyBorder="1" applyAlignment="1">
      <alignment wrapText="1"/>
    </xf>
    <xf numFmtId="49" fontId="3" fillId="0" borderId="0" xfId="0" applyNumberFormat="1" applyFont="1" applyAlignment="1">
      <alignment horizontal="center" wrapText="1"/>
    </xf>
    <xf numFmtId="0" fontId="3" fillId="9" borderId="0" xfId="0" applyFont="1" applyFill="1" applyAlignment="1">
      <alignment wrapText="1"/>
    </xf>
    <xf numFmtId="0" fontId="3" fillId="9" borderId="5" xfId="0" applyFont="1" applyFill="1" applyBorder="1" applyAlignment="1">
      <alignment wrapText="1"/>
    </xf>
    <xf numFmtId="49" fontId="3" fillId="0" borderId="3" xfId="0" applyNumberFormat="1" applyFont="1" applyBorder="1" applyAlignment="1">
      <alignment horizontal="center" wrapText="1"/>
    </xf>
    <xf numFmtId="0" fontId="3" fillId="9" borderId="2" xfId="0" applyFont="1" applyFill="1" applyBorder="1" applyAlignment="1">
      <alignment wrapText="1"/>
    </xf>
    <xf numFmtId="0" fontId="8" fillId="0" borderId="11" xfId="0" applyFont="1" applyBorder="1" applyAlignment="1">
      <alignment wrapText="1"/>
    </xf>
    <xf numFmtId="0" fontId="3" fillId="9" borderId="12" xfId="0" applyFont="1" applyFill="1" applyBorder="1" applyAlignment="1">
      <alignment horizontal="center" wrapText="1"/>
    </xf>
    <xf numFmtId="0" fontId="3" fillId="9" borderId="4" xfId="0" applyFont="1" applyFill="1" applyBorder="1" applyAlignment="1">
      <alignment horizontal="center" wrapText="1"/>
    </xf>
    <xf numFmtId="0" fontId="3" fillId="8" borderId="10" xfId="0" applyFont="1" applyFill="1" applyBorder="1" applyAlignment="1">
      <alignment wrapText="1"/>
    </xf>
    <xf numFmtId="0" fontId="8" fillId="9" borderId="0" xfId="0" applyFont="1" applyFill="1" applyBorder="1" applyAlignment="1">
      <alignment wrapText="1"/>
    </xf>
    <xf numFmtId="0" fontId="8" fillId="7" borderId="10" xfId="0" applyFont="1" applyFill="1" applyBorder="1" applyAlignment="1">
      <alignment horizontal="center"/>
    </xf>
    <xf numFmtId="0" fontId="2" fillId="6" borderId="0" xfId="0" applyFont="1" applyFill="1" applyAlignment="1"/>
    <xf numFmtId="0" fontId="3" fillId="10" borderId="3" xfId="0" applyFont="1" applyFill="1" applyBorder="1" applyAlignment="1">
      <alignment wrapText="1"/>
    </xf>
    <xf numFmtId="0" fontId="3" fillId="0" borderId="0" xfId="0" applyFont="1" applyFill="1" applyBorder="1" applyAlignment="1"/>
    <xf numFmtId="0" fontId="3" fillId="0" borderId="0" xfId="0" applyFont="1" applyBorder="1" applyAlignment="1"/>
    <xf numFmtId="0" fontId="3" fillId="0" borderId="0" xfId="0" applyFont="1" applyAlignment="1"/>
    <xf numFmtId="0" fontId="3" fillId="0" borderId="11" xfId="0" applyFont="1" applyFill="1" applyBorder="1" applyAlignment="1"/>
    <xf numFmtId="49" fontId="8" fillId="9" borderId="11" xfId="0" applyNumberFormat="1" applyFont="1" applyFill="1" applyBorder="1" applyAlignment="1">
      <alignment horizontal="center"/>
    </xf>
    <xf numFmtId="0" fontId="3" fillId="9" borderId="3" xfId="0" applyFont="1" applyFill="1" applyBorder="1" applyAlignment="1">
      <alignment horizontal="left" wrapText="1"/>
    </xf>
    <xf numFmtId="0" fontId="3" fillId="9" borderId="0" xfId="0" applyFont="1" applyFill="1" applyAlignment="1">
      <alignment horizontal="left" wrapText="1"/>
    </xf>
    <xf numFmtId="0" fontId="3" fillId="9" borderId="8" xfId="0" applyFont="1" applyFill="1" applyBorder="1" applyAlignment="1">
      <alignment horizontal="left" wrapText="1"/>
    </xf>
    <xf numFmtId="0" fontId="3" fillId="0" borderId="0" xfId="0" applyFont="1" applyFill="1" applyBorder="1" applyAlignment="1">
      <alignment horizontal="left"/>
    </xf>
    <xf numFmtId="0" fontId="3" fillId="9" borderId="0" xfId="0" applyFont="1" applyFill="1" applyBorder="1" applyAlignment="1">
      <alignment horizontal="left" wrapText="1"/>
    </xf>
    <xf numFmtId="0" fontId="3" fillId="8" borderId="11" xfId="0" applyFont="1" applyFill="1" applyBorder="1" applyAlignment="1">
      <alignment horizontal="left" wrapText="1"/>
    </xf>
    <xf numFmtId="0" fontId="3" fillId="0" borderId="3" xfId="0" applyFont="1" applyFill="1" applyBorder="1" applyAlignment="1">
      <alignment horizontal="left"/>
    </xf>
    <xf numFmtId="0" fontId="3" fillId="0" borderId="8" xfId="0" applyFont="1" applyFill="1" applyBorder="1" applyAlignment="1">
      <alignment horizontal="left"/>
    </xf>
    <xf numFmtId="0" fontId="8" fillId="9" borderId="8" xfId="0" applyFont="1" applyFill="1" applyBorder="1" applyAlignment="1">
      <alignment horizontal="left" wrapText="1"/>
    </xf>
    <xf numFmtId="0" fontId="3" fillId="0" borderId="11" xfId="0" applyFont="1" applyFill="1" applyBorder="1" applyAlignment="1">
      <alignment horizontal="left"/>
    </xf>
    <xf numFmtId="0" fontId="3" fillId="0" borderId="0" xfId="0" applyFont="1" applyBorder="1" applyAlignment="1">
      <alignment horizontal="left"/>
    </xf>
    <xf numFmtId="0" fontId="8" fillId="9" borderId="0" xfId="0" applyFont="1" applyFill="1" applyAlignment="1">
      <alignment horizontal="left" wrapText="1"/>
    </xf>
    <xf numFmtId="0" fontId="3" fillId="0" borderId="8" xfId="0" applyFont="1" applyBorder="1" applyAlignment="1">
      <alignment horizontal="left"/>
    </xf>
    <xf numFmtId="0" fontId="3" fillId="0" borderId="11" xfId="0" applyFont="1" applyBorder="1" applyAlignment="1">
      <alignment horizontal="left"/>
    </xf>
    <xf numFmtId="49" fontId="8" fillId="8" borderId="3" xfId="0" applyNumberFormat="1" applyFont="1" applyFill="1" applyBorder="1" applyAlignment="1">
      <alignment horizontal="center" wrapText="1"/>
    </xf>
    <xf numFmtId="49" fontId="8" fillId="0" borderId="0" xfId="0" applyNumberFormat="1" applyFont="1" applyFill="1" applyBorder="1" applyAlignment="1">
      <alignment horizontal="center" wrapText="1"/>
    </xf>
    <xf numFmtId="49" fontId="8" fillId="9" borderId="3" xfId="0" applyNumberFormat="1" applyFont="1" applyFill="1" applyBorder="1" applyAlignment="1">
      <alignment horizontal="center" wrapText="1"/>
    </xf>
    <xf numFmtId="0" fontId="3" fillId="0" borderId="3" xfId="0" applyFont="1" applyBorder="1" applyAlignment="1"/>
    <xf numFmtId="0" fontId="8" fillId="9" borderId="6" xfId="0" applyFont="1" applyFill="1" applyBorder="1" applyAlignment="1">
      <alignment horizontal="center"/>
    </xf>
    <xf numFmtId="0" fontId="8" fillId="0" borderId="11" xfId="0" applyFont="1" applyFill="1" applyBorder="1" applyAlignment="1">
      <alignment horizontal="left" wrapText="1"/>
    </xf>
    <xf numFmtId="0" fontId="8" fillId="0" borderId="11" xfId="0" applyFont="1" applyFill="1" applyBorder="1" applyAlignment="1">
      <alignment horizontal="center" wrapText="1"/>
    </xf>
    <xf numFmtId="49" fontId="8" fillId="0" borderId="11" xfId="0" applyNumberFormat="1" applyFont="1" applyFill="1" applyBorder="1" applyAlignment="1">
      <alignment horizontal="center" wrapText="1"/>
    </xf>
    <xf numFmtId="14" fontId="8" fillId="0" borderId="11" xfId="0" applyNumberFormat="1" applyFont="1" applyFill="1" applyBorder="1" applyAlignment="1">
      <alignment horizontal="left" wrapText="1"/>
    </xf>
    <xf numFmtId="0" fontId="8" fillId="0" borderId="12" xfId="0" applyFont="1" applyFill="1" applyBorder="1" applyAlignment="1">
      <alignment horizontal="left" wrapText="1"/>
    </xf>
    <xf numFmtId="0" fontId="8" fillId="8" borderId="11" xfId="0" applyFont="1" applyFill="1" applyBorder="1" applyAlignment="1">
      <alignment horizontal="center"/>
    </xf>
    <xf numFmtId="0" fontId="8" fillId="8" borderId="11" xfId="0" applyFont="1" applyFill="1" applyBorder="1" applyAlignment="1">
      <alignment horizontal="left" wrapText="1"/>
    </xf>
    <xf numFmtId="0" fontId="3" fillId="8" borderId="4" xfId="0" applyFont="1" applyFill="1" applyBorder="1" applyAlignment="1">
      <alignment wrapText="1"/>
    </xf>
    <xf numFmtId="0" fontId="8" fillId="0" borderId="3" xfId="0" applyFont="1" applyBorder="1" applyAlignment="1">
      <alignment horizontal="center"/>
    </xf>
    <xf numFmtId="16" fontId="3" fillId="0" borderId="3" xfId="0" applyNumberFormat="1" applyFont="1" applyBorder="1" applyAlignment="1">
      <alignment horizontal="center"/>
    </xf>
    <xf numFmtId="2" fontId="3" fillId="9" borderId="0" xfId="0" applyNumberFormat="1" applyFont="1" applyFill="1" applyBorder="1" applyAlignment="1">
      <alignment horizontal="center" wrapText="1"/>
    </xf>
    <xf numFmtId="49" fontId="3" fillId="7" borderId="11" xfId="0" applyNumberFormat="1" applyFont="1" applyFill="1" applyBorder="1" applyAlignment="1">
      <alignment horizontal="center"/>
    </xf>
    <xf numFmtId="0" fontId="3" fillId="0" borderId="8" xfId="0" applyFont="1" applyBorder="1" applyAlignment="1"/>
    <xf numFmtId="0" fontId="3" fillId="0" borderId="11" xfId="0" applyFont="1" applyBorder="1" applyAlignment="1"/>
    <xf numFmtId="0" fontId="8" fillId="0" borderId="0" xfId="0" applyFont="1" applyAlignment="1">
      <alignment wrapText="1"/>
    </xf>
    <xf numFmtId="0" fontId="8" fillId="0" borderId="3" xfId="0" applyFont="1" applyBorder="1" applyAlignment="1">
      <alignment wrapText="1"/>
    </xf>
    <xf numFmtId="0" fontId="8" fillId="0" borderId="11" xfId="0" applyFont="1" applyFill="1" applyBorder="1" applyAlignment="1">
      <alignment wrapText="1"/>
    </xf>
    <xf numFmtId="0" fontId="8" fillId="0" borderId="8" xfId="0" applyFont="1" applyBorder="1" applyAlignment="1">
      <alignment wrapText="1"/>
    </xf>
    <xf numFmtId="0" fontId="2" fillId="0" borderId="3" xfId="0" applyFont="1" applyFill="1" applyBorder="1" applyAlignment="1">
      <alignment horizontal="left"/>
    </xf>
    <xf numFmtId="0" fontId="2" fillId="0" borderId="8" xfId="0" applyFont="1" applyFill="1" applyBorder="1" applyAlignment="1">
      <alignment horizontal="left"/>
    </xf>
    <xf numFmtId="0" fontId="5" fillId="9" borderId="3" xfId="0" applyFont="1" applyFill="1" applyBorder="1" applyAlignment="1">
      <alignment horizontal="center"/>
    </xf>
    <xf numFmtId="0" fontId="3" fillId="8" borderId="12" xfId="0" applyFont="1" applyFill="1" applyBorder="1" applyAlignment="1">
      <alignment wrapText="1"/>
    </xf>
    <xf numFmtId="0" fontId="3" fillId="9" borderId="11" xfId="0" applyFont="1" applyFill="1" applyBorder="1" applyAlignment="1">
      <alignment horizontal="left" wrapText="1"/>
    </xf>
    <xf numFmtId="164" fontId="8" fillId="9" borderId="0" xfId="0" applyNumberFormat="1" applyFont="1" applyFill="1" applyBorder="1" applyAlignment="1">
      <alignment horizontal="center"/>
    </xf>
    <xf numFmtId="0" fontId="8" fillId="8" borderId="2" xfId="0" applyFont="1" applyFill="1" applyBorder="1" applyAlignment="1">
      <alignment horizontal="center"/>
    </xf>
    <xf numFmtId="0" fontId="8" fillId="8" borderId="7" xfId="0" applyFont="1" applyFill="1" applyBorder="1" applyAlignment="1">
      <alignment horizontal="center"/>
    </xf>
    <xf numFmtId="0" fontId="3" fillId="7" borderId="12" xfId="0" applyFont="1" applyFill="1" applyBorder="1" applyAlignment="1">
      <alignment horizontal="center"/>
    </xf>
    <xf numFmtId="0" fontId="0" fillId="0" borderId="3" xfId="0" applyBorder="1" applyAlignment="1">
      <alignment horizontal="center"/>
    </xf>
    <xf numFmtId="0" fontId="0" fillId="0" borderId="0" xfId="0" applyBorder="1"/>
    <xf numFmtId="0" fontId="8" fillId="0" borderId="0" xfId="0" applyFont="1" applyBorder="1" applyAlignment="1">
      <alignment horizontal="left" wrapText="1"/>
    </xf>
    <xf numFmtId="0" fontId="8" fillId="0" borderId="0" xfId="0" applyFont="1" applyBorder="1" applyAlignment="1">
      <alignment wrapText="1"/>
    </xf>
    <xf numFmtId="0" fontId="0" fillId="0" borderId="0" xfId="0" applyBorder="1" applyAlignment="1">
      <alignment horizontal="center"/>
    </xf>
    <xf numFmtId="0" fontId="3" fillId="13" borderId="3" xfId="0" applyFont="1" applyFill="1" applyBorder="1" applyAlignment="1">
      <alignment wrapText="1"/>
    </xf>
    <xf numFmtId="0" fontId="3" fillId="8" borderId="0" xfId="0" applyFont="1" applyFill="1" applyAlignment="1">
      <alignment horizontal="center"/>
    </xf>
    <xf numFmtId="0" fontId="8" fillId="8" borderId="0" xfId="0" applyFont="1" applyFill="1" applyAlignment="1">
      <alignment horizontal="center"/>
    </xf>
    <xf numFmtId="0" fontId="3" fillId="13" borderId="8" xfId="0" applyFont="1" applyFill="1" applyBorder="1" applyAlignment="1">
      <alignment wrapText="1"/>
    </xf>
    <xf numFmtId="0" fontId="8" fillId="0" borderId="0" xfId="0" applyFont="1" applyAlignment="1">
      <alignment horizontal="center"/>
    </xf>
    <xf numFmtId="0" fontId="8" fillId="0" borderId="8" xfId="0" applyFont="1" applyBorder="1" applyAlignment="1">
      <alignment horizontal="center"/>
    </xf>
    <xf numFmtId="0" fontId="8" fillId="8" borderId="12" xfId="0" applyFont="1" applyFill="1" applyBorder="1" applyAlignment="1">
      <alignment horizontal="center"/>
    </xf>
    <xf numFmtId="0" fontId="3" fillId="13" borderId="11" xfId="0" applyFont="1" applyFill="1" applyBorder="1" applyAlignment="1">
      <alignment horizontal="center"/>
    </xf>
    <xf numFmtId="0" fontId="5" fillId="9" borderId="11" xfId="0" applyFont="1" applyFill="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3" fillId="9" borderId="0" xfId="0" quotePrefix="1" applyFont="1" applyFill="1" applyBorder="1" applyAlignment="1">
      <alignment horizontal="center"/>
    </xf>
    <xf numFmtId="0" fontId="8" fillId="0" borderId="0" xfId="0" applyFont="1" applyFill="1" applyAlignment="1">
      <alignment wrapText="1"/>
    </xf>
    <xf numFmtId="0" fontId="8" fillId="0" borderId="8" xfId="0" applyFont="1" applyFill="1" applyBorder="1" applyAlignment="1">
      <alignment wrapText="1"/>
    </xf>
    <xf numFmtId="0" fontId="8" fillId="0" borderId="3" xfId="0" applyFont="1" applyFill="1" applyBorder="1" applyAlignment="1">
      <alignment wrapText="1"/>
    </xf>
    <xf numFmtId="0" fontId="3" fillId="10" borderId="6" xfId="0" applyFont="1" applyFill="1" applyBorder="1" applyAlignment="1">
      <alignment wrapText="1"/>
    </xf>
    <xf numFmtId="0" fontId="3" fillId="10" borderId="9" xfId="0" applyFont="1" applyFill="1" applyBorder="1" applyAlignment="1">
      <alignment wrapText="1"/>
    </xf>
    <xf numFmtId="0" fontId="3" fillId="10" borderId="10" xfId="0" applyFont="1" applyFill="1" applyBorder="1" applyAlignment="1">
      <alignment horizontal="center"/>
    </xf>
    <xf numFmtId="0" fontId="3" fillId="10" borderId="11" xfId="0" applyFont="1" applyFill="1" applyBorder="1" applyAlignment="1">
      <alignment horizontal="center" wrapText="1"/>
    </xf>
    <xf numFmtId="0" fontId="3" fillId="10" borderId="12" xfId="0" applyFont="1" applyFill="1" applyBorder="1" applyAlignment="1">
      <alignment horizontal="center"/>
    </xf>
    <xf numFmtId="0" fontId="2" fillId="0" borderId="10" xfId="0" applyFont="1" applyFill="1" applyBorder="1" applyAlignment="1">
      <alignment horizontal="left"/>
    </xf>
    <xf numFmtId="0" fontId="3" fillId="8" borderId="9" xfId="0" applyFont="1" applyFill="1" applyBorder="1" applyAlignment="1">
      <alignment wrapText="1"/>
    </xf>
    <xf numFmtId="0" fontId="8" fillId="10" borderId="0" xfId="0" applyFont="1" applyFill="1" applyBorder="1" applyAlignment="1">
      <alignment horizontal="center"/>
    </xf>
    <xf numFmtId="0" fontId="8" fillId="10" borderId="3" xfId="0" applyFont="1" applyFill="1" applyBorder="1" applyAlignment="1">
      <alignment horizontal="center"/>
    </xf>
    <xf numFmtId="0" fontId="8" fillId="10" borderId="8" xfId="0" applyFont="1" applyFill="1" applyBorder="1" applyAlignment="1">
      <alignment horizontal="center"/>
    </xf>
    <xf numFmtId="0" fontId="3" fillId="10" borderId="3" xfId="0" applyFont="1" applyFill="1" applyBorder="1" applyAlignment="1">
      <alignment horizontal="left" wrapText="1"/>
    </xf>
    <xf numFmtId="0" fontId="3" fillId="10" borderId="0" xfId="0" applyFont="1" applyFill="1" applyBorder="1" applyAlignment="1">
      <alignment horizontal="left" wrapText="1"/>
    </xf>
    <xf numFmtId="0" fontId="3" fillId="10" borderId="8" xfId="0" applyFont="1" applyFill="1" applyBorder="1" applyAlignment="1">
      <alignment horizontal="left" wrapText="1"/>
    </xf>
    <xf numFmtId="0" fontId="3" fillId="10" borderId="0" xfId="0" applyFont="1" applyFill="1" applyAlignment="1">
      <alignment horizontal="center"/>
    </xf>
    <xf numFmtId="164" fontId="3" fillId="10" borderId="0" xfId="0" applyNumberFormat="1" applyFont="1" applyFill="1" applyBorder="1" applyAlignment="1">
      <alignment horizontal="center" wrapText="1"/>
    </xf>
    <xf numFmtId="0" fontId="0" fillId="0" borderId="1" xfId="0" applyBorder="1"/>
    <xf numFmtId="0" fontId="5" fillId="0" borderId="0"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0" borderId="3" xfId="0" applyFont="1" applyFill="1" applyBorder="1" applyAlignment="1"/>
    <xf numFmtId="0" fontId="3" fillId="0" borderId="8" xfId="0" applyFont="1" applyFill="1" applyBorder="1" applyAlignment="1"/>
    <xf numFmtId="0" fontId="3" fillId="0" borderId="0" xfId="0" applyFont="1" applyFill="1" applyAlignment="1">
      <alignment horizontal="left" wrapText="1"/>
    </xf>
    <xf numFmtId="0" fontId="3" fillId="0" borderId="0" xfId="0" applyFont="1" applyFill="1" applyAlignment="1">
      <alignment wrapText="1"/>
    </xf>
    <xf numFmtId="0" fontId="3" fillId="0" borderId="10" xfId="0" applyFont="1" applyFill="1" applyBorder="1" applyAlignment="1">
      <alignment horizontal="left" wrapText="1"/>
    </xf>
    <xf numFmtId="0" fontId="3" fillId="0" borderId="12" xfId="0" applyFont="1" applyFill="1" applyBorder="1" applyAlignment="1">
      <alignment horizontal="left" wrapText="1"/>
    </xf>
    <xf numFmtId="0" fontId="4" fillId="9" borderId="0" xfId="0" applyFont="1" applyFill="1" applyBorder="1" applyAlignment="1">
      <alignment horizontal="center" wrapText="1"/>
    </xf>
    <xf numFmtId="0" fontId="8" fillId="9" borderId="11" xfId="0" applyFont="1" applyFill="1" applyBorder="1" applyAlignment="1">
      <alignment horizontal="left" wrapText="1"/>
    </xf>
    <xf numFmtId="0" fontId="3" fillId="10" borderId="4" xfId="0" applyFont="1" applyFill="1" applyBorder="1" applyAlignment="1">
      <alignment wrapText="1"/>
    </xf>
    <xf numFmtId="0" fontId="0" fillId="0" borderId="0" xfId="0" applyFont="1" applyFill="1" applyBorder="1"/>
    <xf numFmtId="0" fontId="3" fillId="0" borderId="10" xfId="0" applyFont="1" applyFill="1" applyBorder="1" applyAlignment="1">
      <alignment horizontal="center" wrapText="1"/>
    </xf>
    <xf numFmtId="16" fontId="3" fillId="0" borderId="11" xfId="0" applyNumberFormat="1" applyFont="1" applyFill="1" applyBorder="1" applyAlignment="1">
      <alignment horizontal="center" wrapText="1"/>
    </xf>
    <xf numFmtId="0" fontId="8" fillId="7" borderId="11" xfId="0" applyFont="1" applyFill="1" applyBorder="1" applyAlignment="1">
      <alignment horizontal="left" wrapText="1"/>
    </xf>
    <xf numFmtId="0" fontId="8" fillId="7" borderId="11" xfId="0" applyFont="1" applyFill="1" applyBorder="1" applyAlignment="1">
      <alignment horizontal="center" wrapText="1"/>
    </xf>
    <xf numFmtId="49" fontId="8" fillId="7" borderId="11" xfId="0" applyNumberFormat="1" applyFont="1" applyFill="1" applyBorder="1" applyAlignment="1">
      <alignment horizontal="center" wrapText="1"/>
    </xf>
    <xf numFmtId="0" fontId="8" fillId="7" borderId="12" xfId="0" applyFont="1" applyFill="1" applyBorder="1" applyAlignment="1">
      <alignment horizontal="center" wrapText="1"/>
    </xf>
    <xf numFmtId="0" fontId="8" fillId="0" borderId="10" xfId="0" applyFont="1" applyFill="1" applyBorder="1" applyAlignment="1">
      <alignment horizontal="center" wrapText="1"/>
    </xf>
    <xf numFmtId="16" fontId="3" fillId="0" borderId="11" xfId="0" applyNumberFormat="1" applyFont="1" applyFill="1" applyBorder="1" applyAlignment="1">
      <alignment horizontal="center"/>
    </xf>
    <xf numFmtId="0" fontId="8" fillId="10" borderId="2" xfId="0" applyFont="1" applyFill="1" applyBorder="1" applyAlignment="1">
      <alignment horizontal="center"/>
    </xf>
    <xf numFmtId="0" fontId="8" fillId="10" borderId="7" xfId="0" applyFont="1" applyFill="1" applyBorder="1" applyAlignment="1">
      <alignment horizontal="center"/>
    </xf>
    <xf numFmtId="0" fontId="8" fillId="9" borderId="0" xfId="0" applyFont="1" applyFill="1" applyBorder="1" applyAlignment="1">
      <alignment horizontal="left" wrapText="1"/>
    </xf>
    <xf numFmtId="0" fontId="2" fillId="0" borderId="8" xfId="0" applyFont="1" applyBorder="1" applyAlignment="1">
      <alignment horizontal="center"/>
    </xf>
    <xf numFmtId="0" fontId="0" fillId="0" borderId="13" xfId="0" applyBorder="1"/>
    <xf numFmtId="16" fontId="3" fillId="9" borderId="3" xfId="0" applyNumberFormat="1" applyFont="1" applyFill="1" applyBorder="1" applyAlignment="1">
      <alignment horizontal="center" wrapText="1"/>
    </xf>
    <xf numFmtId="16" fontId="3" fillId="9" borderId="8" xfId="0" applyNumberFormat="1" applyFont="1" applyFill="1" applyBorder="1" applyAlignment="1">
      <alignment horizontal="center" wrapText="1"/>
    </xf>
    <xf numFmtId="0" fontId="3" fillId="7" borderId="11" xfId="0" applyFont="1" applyFill="1" applyBorder="1" applyAlignment="1">
      <alignment horizontal="left" wrapText="1"/>
    </xf>
    <xf numFmtId="0" fontId="8" fillId="8" borderId="0" xfId="0" applyFont="1" applyFill="1" applyAlignment="1">
      <alignment horizontal="left" wrapText="1"/>
    </xf>
    <xf numFmtId="0" fontId="8" fillId="7" borderId="3" xfId="0" applyFont="1" applyFill="1" applyBorder="1" applyAlignment="1">
      <alignment horizontal="left" wrapText="1"/>
    </xf>
    <xf numFmtId="0" fontId="8" fillId="7" borderId="0" xfId="0" applyFont="1" applyFill="1" applyBorder="1" applyAlignment="1">
      <alignment horizontal="left" wrapText="1"/>
    </xf>
    <xf numFmtId="0" fontId="8" fillId="7" borderId="8" xfId="0" applyFont="1" applyFill="1" applyBorder="1" applyAlignment="1">
      <alignment horizontal="left" wrapText="1"/>
    </xf>
    <xf numFmtId="0" fontId="3" fillId="10" borderId="11" xfId="0" applyFont="1" applyFill="1" applyBorder="1" applyAlignment="1">
      <alignment horizontal="left" wrapText="1"/>
    </xf>
    <xf numFmtId="16" fontId="3" fillId="10" borderId="3" xfId="0" applyNumberFormat="1" applyFont="1" applyFill="1" applyBorder="1" applyAlignment="1">
      <alignment horizontal="center" wrapText="1"/>
    </xf>
    <xf numFmtId="0" fontId="3" fillId="10" borderId="0" xfId="0" applyFont="1" applyFill="1" applyAlignment="1">
      <alignment wrapText="1"/>
    </xf>
    <xf numFmtId="0" fontId="3" fillId="10" borderId="0" xfId="0" applyFont="1" applyFill="1" applyAlignment="1">
      <alignment horizontal="left" wrapText="1"/>
    </xf>
    <xf numFmtId="0" fontId="8" fillId="9" borderId="10" xfId="0" applyFont="1" applyFill="1" applyBorder="1" applyAlignment="1">
      <alignment horizontal="center"/>
    </xf>
    <xf numFmtId="0" fontId="0" fillId="0" borderId="11" xfId="0" applyBorder="1"/>
    <xf numFmtId="0" fontId="0" fillId="0" borderId="3" xfId="0" applyBorder="1"/>
    <xf numFmtId="0" fontId="0" fillId="0" borderId="8" xfId="0" applyBorder="1"/>
    <xf numFmtId="0" fontId="3" fillId="10" borderId="4" xfId="0" applyFont="1" applyFill="1" applyBorder="1" applyAlignment="1">
      <alignment horizontal="center" wrapText="1"/>
    </xf>
    <xf numFmtId="0" fontId="3" fillId="10" borderId="12" xfId="0" applyFont="1" applyFill="1" applyBorder="1" applyAlignment="1">
      <alignment horizontal="center" wrapText="1"/>
    </xf>
    <xf numFmtId="0" fontId="8" fillId="8" borderId="10" xfId="0" applyFont="1" applyFill="1" applyBorder="1" applyAlignment="1">
      <alignment horizontal="center"/>
    </xf>
    <xf numFmtId="0" fontId="8" fillId="10" borderId="11" xfId="0" applyFont="1" applyFill="1" applyBorder="1" applyAlignment="1">
      <alignment horizontal="center"/>
    </xf>
    <xf numFmtId="0" fontId="8" fillId="10" borderId="11" xfId="0" applyFont="1" applyFill="1" applyBorder="1" applyAlignment="1">
      <alignment horizontal="center" wrapText="1"/>
    </xf>
    <xf numFmtId="0" fontId="8" fillId="10" borderId="12" xfId="0" applyFont="1" applyFill="1" applyBorder="1" applyAlignment="1">
      <alignment horizontal="left" wrapText="1"/>
    </xf>
    <xf numFmtId="0" fontId="3" fillId="8" borderId="0" xfId="0" applyFont="1" applyFill="1" applyAlignment="1">
      <alignment wrapText="1"/>
    </xf>
    <xf numFmtId="0" fontId="3" fillId="8" borderId="2" xfId="0" applyFont="1" applyFill="1" applyBorder="1" applyAlignment="1">
      <alignment wrapText="1"/>
    </xf>
    <xf numFmtId="0" fontId="3" fillId="8" borderId="5" xfId="0" applyFont="1" applyFill="1" applyBorder="1" applyAlignment="1">
      <alignment wrapText="1"/>
    </xf>
    <xf numFmtId="0" fontId="3" fillId="8" borderId="7" xfId="0" applyFont="1" applyFill="1" applyBorder="1" applyAlignment="1">
      <alignment wrapText="1"/>
    </xf>
    <xf numFmtId="0" fontId="3" fillId="7" borderId="2" xfId="0" applyFont="1" applyFill="1" applyBorder="1" applyAlignment="1">
      <alignment horizontal="center"/>
    </xf>
    <xf numFmtId="0" fontId="3" fillId="7" borderId="3" xfId="0" applyFont="1" applyFill="1" applyBorder="1" applyAlignment="1">
      <alignment horizontal="center" wrapText="1"/>
    </xf>
    <xf numFmtId="0" fontId="13" fillId="0" borderId="3"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49" fontId="3" fillId="8" borderId="11" xfId="0" applyNumberFormat="1" applyFont="1" applyFill="1" applyBorder="1" applyAlignment="1">
      <alignment horizontal="center" wrapText="1"/>
    </xf>
    <xf numFmtId="0" fontId="0" fillId="0" borderId="0" xfId="0" applyFill="1"/>
    <xf numFmtId="49" fontId="3" fillId="8" borderId="0" xfId="0" applyNumberFormat="1" applyFont="1" applyFill="1" applyBorder="1" applyAlignment="1">
      <alignment horizontal="center" wrapText="1"/>
    </xf>
    <xf numFmtId="164" fontId="3" fillId="0" borderId="0" xfId="0" applyNumberFormat="1" applyFont="1" applyFill="1" applyBorder="1" applyAlignment="1">
      <alignment horizontal="left" wrapText="1"/>
    </xf>
    <xf numFmtId="164" fontId="3" fillId="0" borderId="3" xfId="0" applyNumberFormat="1" applyFont="1" applyFill="1" applyBorder="1" applyAlignment="1">
      <alignment horizontal="left" wrapText="1"/>
    </xf>
    <xf numFmtId="164" fontId="3" fillId="0" borderId="8" xfId="0" applyNumberFormat="1" applyFont="1" applyFill="1" applyBorder="1" applyAlignment="1">
      <alignment horizontal="left" wrapText="1"/>
    </xf>
    <xf numFmtId="0" fontId="3" fillId="7" borderId="5" xfId="0" applyFont="1" applyFill="1" applyBorder="1" applyAlignment="1">
      <alignment horizontal="center"/>
    </xf>
    <xf numFmtId="0" fontId="3" fillId="7" borderId="0" xfId="0" applyFont="1" applyFill="1" applyBorder="1" applyAlignment="1">
      <alignment horizontal="center" wrapText="1"/>
    </xf>
    <xf numFmtId="0" fontId="3" fillId="7" borderId="7" xfId="0" applyFont="1" applyFill="1" applyBorder="1" applyAlignment="1">
      <alignment horizontal="center"/>
    </xf>
    <xf numFmtId="0" fontId="3" fillId="7" borderId="8" xfId="0" applyFont="1" applyFill="1" applyBorder="1" applyAlignment="1">
      <alignment horizontal="center" wrapText="1"/>
    </xf>
    <xf numFmtId="14" fontId="3" fillId="0" borderId="11" xfId="0" applyNumberFormat="1" applyFont="1" applyFill="1" applyBorder="1" applyAlignment="1">
      <alignment horizontal="left" wrapText="1"/>
    </xf>
    <xf numFmtId="49" fontId="3" fillId="9" borderId="0" xfId="0" applyNumberFormat="1" applyFont="1" applyFill="1" applyBorder="1" applyAlignment="1">
      <alignment horizontal="center" wrapText="1"/>
    </xf>
    <xf numFmtId="0" fontId="2" fillId="0" borderId="2" xfId="0"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left" wrapText="1"/>
    </xf>
    <xf numFmtId="0" fontId="3" fillId="0" borderId="6" xfId="0" applyFont="1" applyFill="1" applyBorder="1" applyAlignment="1">
      <alignment horizontal="left" wrapText="1"/>
    </xf>
    <xf numFmtId="0" fontId="2" fillId="0" borderId="7" xfId="0" applyFont="1" applyFill="1" applyBorder="1" applyAlignment="1">
      <alignment horizontal="left" wrapText="1"/>
    </xf>
    <xf numFmtId="0" fontId="3" fillId="0" borderId="9" xfId="0" applyFont="1" applyFill="1" applyBorder="1" applyAlignment="1">
      <alignment horizontal="left" wrapText="1"/>
    </xf>
    <xf numFmtId="49" fontId="3" fillId="9" borderId="3" xfId="0" applyNumberFormat="1" applyFont="1" applyFill="1" applyBorder="1" applyAlignment="1">
      <alignment horizontal="center" wrapText="1"/>
    </xf>
    <xf numFmtId="0" fontId="2" fillId="0" borderId="10" xfId="0" applyFont="1" applyFill="1" applyBorder="1" applyAlignment="1">
      <alignment horizontal="left" wrapText="1"/>
    </xf>
    <xf numFmtId="0" fontId="3" fillId="7" borderId="0" xfId="0" applyFont="1" applyFill="1" applyAlignment="1">
      <alignment horizontal="center"/>
    </xf>
    <xf numFmtId="0" fontId="3" fillId="7" borderId="0" xfId="0" applyFont="1" applyFill="1" applyBorder="1" applyAlignment="1">
      <alignment wrapText="1"/>
    </xf>
    <xf numFmtId="1" fontId="3" fillId="0" borderId="11" xfId="0" applyNumberFormat="1" applyFont="1" applyBorder="1" applyAlignment="1">
      <alignment horizontal="center"/>
    </xf>
    <xf numFmtId="0" fontId="0" fillId="0" borderId="0" xfId="0" applyFill="1"/>
    <xf numFmtId="0" fontId="6" fillId="0" borderId="0" xfId="0" applyFont="1"/>
    <xf numFmtId="0" fontId="3" fillId="0" borderId="8" xfId="0" applyNumberFormat="1" applyFont="1" applyFill="1" applyBorder="1" applyAlignment="1">
      <alignment horizontal="center" wrapText="1"/>
    </xf>
    <xf numFmtId="0" fontId="8" fillId="8" borderId="5" xfId="0" applyFont="1" applyFill="1" applyBorder="1" applyAlignment="1">
      <alignment horizontal="center"/>
    </xf>
    <xf numFmtId="0" fontId="5" fillId="9" borderId="0" xfId="0" applyFont="1" applyFill="1" applyBorder="1" applyAlignment="1">
      <alignment horizontal="center"/>
    </xf>
    <xf numFmtId="0" fontId="8" fillId="10" borderId="10" xfId="0" applyFont="1" applyFill="1" applyBorder="1" applyAlignment="1">
      <alignment horizontal="center"/>
    </xf>
    <xf numFmtId="0" fontId="3" fillId="7" borderId="2" xfId="0" applyFont="1" applyFill="1" applyBorder="1" applyAlignment="1">
      <alignment wrapText="1"/>
    </xf>
    <xf numFmtId="49" fontId="8" fillId="7" borderId="3" xfId="0" applyNumberFormat="1" applyFont="1" applyFill="1" applyBorder="1" applyAlignment="1">
      <alignment horizontal="center"/>
    </xf>
    <xf numFmtId="3" fontId="3" fillId="9" borderId="8" xfId="0" applyNumberFormat="1" applyFont="1" applyFill="1" applyBorder="1" applyAlignment="1">
      <alignment horizontal="center"/>
    </xf>
    <xf numFmtId="3" fontId="3" fillId="8" borderId="11" xfId="0" applyNumberFormat="1" applyFont="1" applyFill="1" applyBorder="1" applyAlignment="1">
      <alignment horizontal="center"/>
    </xf>
    <xf numFmtId="0" fontId="5" fillId="10" borderId="11" xfId="0" applyFont="1" applyFill="1" applyBorder="1" applyAlignment="1">
      <alignment horizontal="center"/>
    </xf>
    <xf numFmtId="0" fontId="5" fillId="10" borderId="11" xfId="0" applyFont="1" applyFill="1" applyBorder="1" applyAlignment="1">
      <alignment horizontal="center" wrapText="1"/>
    </xf>
    <xf numFmtId="164" fontId="3" fillId="0" borderId="0" xfId="0" applyNumberFormat="1" applyFont="1" applyAlignment="1">
      <alignment horizontal="center"/>
    </xf>
    <xf numFmtId="0" fontId="0" fillId="9" borderId="10" xfId="0" applyFill="1" applyBorder="1" applyAlignment="1">
      <alignment horizontal="center"/>
    </xf>
    <xf numFmtId="0" fontId="2" fillId="0" borderId="11" xfId="0" applyFont="1" applyBorder="1" applyAlignment="1">
      <alignment horizontal="center" wrapText="1"/>
    </xf>
    <xf numFmtId="0" fontId="4" fillId="8" borderId="9" xfId="0" applyFont="1" applyFill="1" applyBorder="1" applyAlignment="1">
      <alignment horizontal="left" wrapText="1"/>
    </xf>
    <xf numFmtId="0" fontId="4" fillId="8" borderId="6" xfId="0" applyFont="1" applyFill="1" applyBorder="1" applyAlignment="1">
      <alignment horizontal="left" wrapText="1"/>
    </xf>
    <xf numFmtId="0" fontId="0" fillId="8" borderId="10" xfId="0" applyFill="1" applyBorder="1" applyAlignment="1">
      <alignment horizontal="center"/>
    </xf>
    <xf numFmtId="0" fontId="8" fillId="10" borderId="12" xfId="0" applyFont="1" applyFill="1" applyBorder="1" applyAlignment="1">
      <alignment horizontal="center" wrapText="1"/>
    </xf>
    <xf numFmtId="0" fontId="3" fillId="7" borderId="11" xfId="0" applyFont="1" applyFill="1" applyBorder="1" applyAlignment="1">
      <alignment wrapText="1"/>
    </xf>
    <xf numFmtId="0" fontId="0" fillId="9" borderId="5" xfId="0" applyFill="1" applyBorder="1" applyAlignment="1">
      <alignment horizontal="center"/>
    </xf>
    <xf numFmtId="0" fontId="0" fillId="9" borderId="7" xfId="0" applyFill="1" applyBorder="1" applyAlignment="1">
      <alignment horizontal="center"/>
    </xf>
    <xf numFmtId="16" fontId="3" fillId="8" borderId="0" xfId="0" applyNumberFormat="1" applyFont="1" applyFill="1" applyAlignment="1">
      <alignment horizontal="center" wrapText="1"/>
    </xf>
    <xf numFmtId="0" fontId="3" fillId="8" borderId="0" xfId="0" applyFont="1" applyFill="1" applyAlignment="1">
      <alignment horizontal="center" wrapText="1"/>
    </xf>
    <xf numFmtId="16" fontId="3" fillId="8" borderId="8" xfId="0" applyNumberFormat="1" applyFont="1" applyFill="1" applyBorder="1" applyAlignment="1">
      <alignment horizontal="center" wrapText="1"/>
    </xf>
    <xf numFmtId="16" fontId="3" fillId="0" borderId="0" xfId="0" applyNumberFormat="1" applyFont="1" applyAlignment="1">
      <alignment horizontal="center"/>
    </xf>
    <xf numFmtId="16" fontId="3" fillId="9" borderId="0" xfId="0" applyNumberFormat="1" applyFont="1" applyFill="1" applyAlignment="1">
      <alignment horizontal="center" wrapText="1"/>
    </xf>
    <xf numFmtId="16" fontId="3" fillId="9" borderId="6" xfId="0" applyNumberFormat="1" applyFont="1" applyFill="1" applyBorder="1" applyAlignment="1">
      <alignment horizontal="center" wrapText="1"/>
    </xf>
    <xf numFmtId="0" fontId="0" fillId="0" borderId="0" xfId="0" applyFill="1"/>
    <xf numFmtId="0" fontId="3" fillId="8" borderId="0" xfId="0" applyFont="1" applyFill="1" applyAlignment="1">
      <alignment horizontal="left" wrapText="1"/>
    </xf>
    <xf numFmtId="49" fontId="8" fillId="9" borderId="3" xfId="0" applyNumberFormat="1" applyFont="1" applyFill="1" applyBorder="1" applyAlignment="1">
      <alignment horizontal="center"/>
    </xf>
    <xf numFmtId="49" fontId="8" fillId="9" borderId="8" xfId="0" applyNumberFormat="1" applyFont="1" applyFill="1" applyBorder="1" applyAlignment="1">
      <alignment horizontal="center"/>
    </xf>
    <xf numFmtId="0" fontId="3" fillId="10" borderId="0" xfId="0" applyFont="1" applyFill="1" applyBorder="1" applyAlignment="1">
      <alignment wrapText="1"/>
    </xf>
    <xf numFmtId="0" fontId="0" fillId="0" borderId="0" xfId="0" applyFill="1"/>
    <xf numFmtId="0" fontId="0" fillId="9" borderId="11" xfId="0" applyFill="1" applyBorder="1" applyAlignment="1">
      <alignment horizontal="center"/>
    </xf>
    <xf numFmtId="2" fontId="8" fillId="9" borderId="3" xfId="0" applyNumberFormat="1" applyFont="1" applyFill="1" applyBorder="1" applyAlignment="1">
      <alignment horizontal="center" wrapText="1"/>
    </xf>
    <xf numFmtId="2" fontId="8" fillId="9" borderId="0" xfId="0" applyNumberFormat="1" applyFont="1" applyFill="1" applyAlignment="1">
      <alignment horizontal="center" wrapText="1"/>
    </xf>
    <xf numFmtId="2" fontId="8" fillId="9" borderId="8" xfId="0" applyNumberFormat="1" applyFont="1" applyFill="1" applyBorder="1" applyAlignment="1">
      <alignment horizontal="center" wrapText="1"/>
    </xf>
    <xf numFmtId="0" fontId="8" fillId="7" borderId="4" xfId="0" applyFont="1" applyFill="1" applyBorder="1" applyAlignment="1">
      <alignment horizontal="center" wrapText="1"/>
    </xf>
    <xf numFmtId="16" fontId="3" fillId="10" borderId="0" xfId="0" applyNumberFormat="1" applyFont="1" applyFill="1" applyBorder="1" applyAlignment="1">
      <alignment horizontal="center" wrapText="1"/>
    </xf>
    <xf numFmtId="2" fontId="3" fillId="9" borderId="3" xfId="0" applyNumberFormat="1" applyFont="1" applyFill="1" applyBorder="1" applyAlignment="1">
      <alignment horizontal="center" wrapText="1"/>
    </xf>
    <xf numFmtId="2" fontId="3" fillId="9" borderId="8" xfId="0" applyNumberFormat="1" applyFont="1" applyFill="1" applyBorder="1" applyAlignment="1">
      <alignment horizontal="center" wrapText="1"/>
    </xf>
    <xf numFmtId="49" fontId="8" fillId="8" borderId="0" xfId="0" applyNumberFormat="1" applyFont="1" applyFill="1" applyBorder="1" applyAlignment="1">
      <alignment horizontal="center"/>
    </xf>
    <xf numFmtId="49" fontId="8" fillId="10" borderId="0" xfId="0" applyNumberFormat="1" applyFont="1" applyFill="1" applyBorder="1" applyAlignment="1">
      <alignment horizontal="center" wrapText="1"/>
    </xf>
    <xf numFmtId="49" fontId="8" fillId="9" borderId="0" xfId="0" applyNumberFormat="1" applyFont="1" applyFill="1" applyBorder="1" applyAlignment="1">
      <alignment horizontal="center" wrapText="1"/>
    </xf>
    <xf numFmtId="49" fontId="8" fillId="8" borderId="0" xfId="0" applyNumberFormat="1" applyFont="1" applyFill="1" applyBorder="1" applyAlignment="1">
      <alignment horizontal="center" wrapText="1"/>
    </xf>
    <xf numFmtId="0" fontId="2" fillId="5" borderId="0" xfId="0" applyFont="1" applyFill="1" applyAlignment="1"/>
    <xf numFmtId="0" fontId="3" fillId="9" borderId="0" xfId="0" applyFont="1" applyFill="1" applyAlignment="1"/>
    <xf numFmtId="0" fontId="3" fillId="9" borderId="8" xfId="0" applyFont="1" applyFill="1" applyBorder="1" applyAlignment="1"/>
    <xf numFmtId="0" fontId="3" fillId="9" borderId="0" xfId="0" applyFont="1" applyFill="1" applyBorder="1" applyAlignment="1"/>
    <xf numFmtId="0" fontId="3" fillId="8" borderId="0" xfId="0" applyFont="1" applyFill="1" applyBorder="1" applyAlignment="1"/>
    <xf numFmtId="0" fontId="3" fillId="8" borderId="8" xfId="0" applyFont="1" applyFill="1" applyBorder="1" applyAlignment="1"/>
    <xf numFmtId="0" fontId="3" fillId="7" borderId="0" xfId="0" applyFont="1" applyFill="1" applyBorder="1" applyAlignment="1"/>
    <xf numFmtId="0" fontId="8" fillId="8" borderId="0" xfId="0" applyFont="1" applyFill="1" applyBorder="1" applyAlignment="1">
      <alignment wrapText="1"/>
    </xf>
    <xf numFmtId="0" fontId="3" fillId="8" borderId="0" xfId="0" applyFont="1" applyFill="1" applyAlignment="1"/>
    <xf numFmtId="0" fontId="3" fillId="10" borderId="0" xfId="0" applyFont="1" applyFill="1" applyBorder="1" applyAlignment="1"/>
    <xf numFmtId="0" fontId="3" fillId="10" borderId="8" xfId="0" applyFont="1" applyFill="1" applyBorder="1" applyAlignment="1"/>
    <xf numFmtId="0" fontId="3" fillId="7" borderId="8" xfId="0" applyFont="1" applyFill="1" applyBorder="1" applyAlignment="1"/>
    <xf numFmtId="0" fontId="3" fillId="10" borderId="0" xfId="0" applyFont="1" applyFill="1" applyAlignment="1"/>
    <xf numFmtId="0" fontId="8" fillId="10" borderId="11" xfId="0" applyFont="1" applyFill="1" applyBorder="1" applyAlignment="1">
      <alignment wrapText="1"/>
    </xf>
    <xf numFmtId="0" fontId="8" fillId="7" borderId="0" xfId="0" applyFont="1" applyFill="1" applyBorder="1" applyAlignment="1"/>
    <xf numFmtId="0" fontId="8" fillId="7" borderId="8" xfId="0" applyFont="1" applyFill="1" applyBorder="1" applyAlignment="1"/>
    <xf numFmtId="0" fontId="8" fillId="8" borderId="0" xfId="0" applyFont="1" applyFill="1" applyBorder="1" applyAlignment="1"/>
    <xf numFmtId="0" fontId="8" fillId="9" borderId="8" xfId="0" applyFont="1" applyFill="1" applyBorder="1" applyAlignment="1"/>
    <xf numFmtId="0" fontId="2" fillId="5" borderId="0" xfId="0" applyFont="1" applyFill="1" applyAlignment="1">
      <alignment horizontal="center" wrapText="1"/>
    </xf>
    <xf numFmtId="0" fontId="3" fillId="10" borderId="0" xfId="0" applyFont="1" applyFill="1" applyAlignment="1">
      <alignment horizontal="center" wrapText="1"/>
    </xf>
    <xf numFmtId="0" fontId="2" fillId="0" borderId="0" xfId="0" applyFont="1" applyBorder="1" applyAlignment="1">
      <alignment wrapText="1"/>
    </xf>
    <xf numFmtId="0" fontId="3" fillId="9" borderId="3" xfId="0" applyFont="1" applyFill="1" applyBorder="1" applyAlignment="1"/>
    <xf numFmtId="0" fontId="3" fillId="8" borderId="3" xfId="0" applyFont="1" applyFill="1" applyBorder="1" applyAlignment="1"/>
    <xf numFmtId="0" fontId="3" fillId="7" borderId="11" xfId="0" applyFont="1" applyFill="1" applyBorder="1" applyAlignment="1"/>
    <xf numFmtId="0" fontId="3" fillId="8" borderId="11" xfId="0" applyFont="1" applyFill="1" applyBorder="1" applyAlignment="1"/>
    <xf numFmtId="0" fontId="8" fillId="9" borderId="11" xfId="0" applyFont="1" applyFill="1" applyBorder="1" applyAlignment="1">
      <alignment wrapText="1"/>
    </xf>
    <xf numFmtId="0" fontId="8" fillId="7" borderId="11" xfId="0" applyFont="1" applyFill="1" applyBorder="1" applyAlignment="1">
      <alignment wrapText="1"/>
    </xf>
    <xf numFmtId="0" fontId="3" fillId="9" borderId="11" xfId="0" applyFont="1" applyFill="1" applyBorder="1" applyAlignment="1"/>
    <xf numFmtId="0" fontId="3" fillId="10" borderId="3" xfId="0" applyFont="1" applyFill="1" applyBorder="1" applyAlignment="1"/>
    <xf numFmtId="0" fontId="0" fillId="9" borderId="8" xfId="0" applyFill="1" applyBorder="1" applyAlignment="1"/>
    <xf numFmtId="0" fontId="3" fillId="7" borderId="3" xfId="0" applyFont="1" applyFill="1" applyBorder="1" applyAlignment="1"/>
    <xf numFmtId="0" fontId="3" fillId="10" borderId="11" xfId="0" applyFont="1" applyFill="1" applyBorder="1" applyAlignment="1"/>
    <xf numFmtId="0" fontId="8" fillId="7" borderId="3" xfId="0" applyFont="1" applyFill="1" applyBorder="1" applyAlignment="1"/>
    <xf numFmtId="0" fontId="8" fillId="9" borderId="3" xfId="0" applyFont="1" applyFill="1" applyBorder="1" applyAlignment="1"/>
    <xf numFmtId="0" fontId="3" fillId="10" borderId="11" xfId="0" applyFont="1" applyFill="1" applyBorder="1" applyAlignment="1">
      <alignment wrapText="1"/>
    </xf>
    <xf numFmtId="0" fontId="0" fillId="8" borderId="11" xfId="0" applyFont="1" applyFill="1" applyBorder="1" applyAlignment="1"/>
    <xf numFmtId="49" fontId="8" fillId="10" borderId="3" xfId="0" applyNumberFormat="1" applyFont="1" applyFill="1" applyBorder="1" applyAlignment="1">
      <alignment horizontal="center" wrapText="1"/>
    </xf>
    <xf numFmtId="0" fontId="3" fillId="8" borderId="6" xfId="0" applyFont="1" applyFill="1" applyBorder="1" applyAlignment="1">
      <alignment horizontal="center" wrapText="1"/>
    </xf>
    <xf numFmtId="49" fontId="8" fillId="8" borderId="8" xfId="0" applyNumberFormat="1" applyFont="1" applyFill="1" applyBorder="1" applyAlignment="1">
      <alignment horizontal="center" wrapText="1"/>
    </xf>
    <xf numFmtId="49" fontId="8" fillId="10" borderId="8" xfId="0" applyNumberFormat="1" applyFont="1" applyFill="1" applyBorder="1" applyAlignment="1">
      <alignment horizontal="center" wrapText="1"/>
    </xf>
    <xf numFmtId="49" fontId="8" fillId="0" borderId="3" xfId="0" applyNumberFormat="1" applyFont="1" applyFill="1" applyBorder="1" applyAlignment="1">
      <alignment horizontal="center" wrapText="1"/>
    </xf>
    <xf numFmtId="0" fontId="3" fillId="0" borderId="5" xfId="0" applyFont="1" applyFill="1" applyBorder="1" applyAlignment="1">
      <alignment horizontal="center" wrapText="1"/>
    </xf>
    <xf numFmtId="49" fontId="8" fillId="0" borderId="8" xfId="0" applyNumberFormat="1" applyFont="1" applyFill="1" applyBorder="1" applyAlignment="1">
      <alignment horizontal="center" wrapText="1"/>
    </xf>
    <xf numFmtId="49" fontId="8" fillId="7" borderId="3" xfId="0" applyNumberFormat="1" applyFont="1" applyFill="1" applyBorder="1" applyAlignment="1">
      <alignment horizontal="center" wrapText="1"/>
    </xf>
    <xf numFmtId="0" fontId="3" fillId="7" borderId="9" xfId="0" applyFont="1" applyFill="1" applyBorder="1" applyAlignment="1">
      <alignment wrapText="1"/>
    </xf>
    <xf numFmtId="0" fontId="2" fillId="3" borderId="0" xfId="0" applyFont="1" applyFill="1" applyBorder="1" applyAlignment="1">
      <alignment wrapText="1"/>
    </xf>
    <xf numFmtId="0" fontId="8" fillId="0" borderId="0" xfId="0" applyFont="1" applyAlignment="1"/>
    <xf numFmtId="0" fontId="8" fillId="10" borderId="0" xfId="0" applyFont="1" applyFill="1" applyBorder="1" applyAlignment="1">
      <alignment horizontal="center" wrapText="1"/>
    </xf>
    <xf numFmtId="0" fontId="8" fillId="10" borderId="6" xfId="0" applyFont="1" applyFill="1" applyBorder="1" applyAlignment="1">
      <alignment horizontal="center" wrapText="1"/>
    </xf>
    <xf numFmtId="49" fontId="3" fillId="10" borderId="4" xfId="0" applyNumberFormat="1" applyFont="1" applyFill="1" applyBorder="1" applyAlignment="1">
      <alignment horizontal="center"/>
    </xf>
    <xf numFmtId="49" fontId="3" fillId="10" borderId="9" xfId="0" applyNumberFormat="1" applyFont="1" applyFill="1" applyBorder="1" applyAlignment="1">
      <alignment horizontal="center"/>
    </xf>
    <xf numFmtId="16" fontId="3" fillId="0" borderId="0" xfId="0" applyNumberFormat="1" applyFont="1" applyBorder="1" applyAlignment="1">
      <alignment horizontal="center" wrapText="1"/>
    </xf>
    <xf numFmtId="0" fontId="3" fillId="0" borderId="0" xfId="0" applyFont="1" applyFill="1" applyAlignment="1"/>
    <xf numFmtId="0" fontId="3" fillId="0" borderId="0" xfId="0" applyFont="1" applyFill="1" applyAlignment="1">
      <alignment horizontal="center" wrapText="1"/>
    </xf>
    <xf numFmtId="14" fontId="3" fillId="0" borderId="0" xfId="0" applyNumberFormat="1" applyFont="1" applyFill="1" applyAlignment="1">
      <alignment horizontal="left"/>
    </xf>
    <xf numFmtId="49" fontId="8" fillId="0" borderId="0" xfId="0" applyNumberFormat="1" applyFont="1" applyFill="1" applyAlignment="1">
      <alignment horizontal="center" wrapText="1"/>
    </xf>
    <xf numFmtId="0" fontId="8" fillId="10" borderId="11" xfId="0" applyFont="1" applyFill="1" applyBorder="1" applyAlignment="1">
      <alignment horizontal="left" wrapText="1"/>
    </xf>
    <xf numFmtId="0" fontId="2" fillId="0" borderId="3" xfId="0" applyFont="1" applyBorder="1" applyAlignment="1">
      <alignment horizontal="center" wrapText="1"/>
    </xf>
    <xf numFmtId="0" fontId="2" fillId="0" borderId="8" xfId="0" applyFont="1" applyBorder="1" applyAlignment="1">
      <alignment horizontal="center" wrapText="1"/>
    </xf>
    <xf numFmtId="0" fontId="0" fillId="9" borderId="3" xfId="0" applyFill="1" applyBorder="1" applyAlignment="1">
      <alignment horizontal="center"/>
    </xf>
    <xf numFmtId="0" fontId="8" fillId="8" borderId="12" xfId="0" applyFont="1" applyFill="1" applyBorder="1" applyAlignment="1">
      <alignment horizontal="left" wrapText="1"/>
    </xf>
    <xf numFmtId="0" fontId="8" fillId="9" borderId="12" xfId="0" applyFont="1" applyFill="1" applyBorder="1" applyAlignment="1">
      <alignment horizontal="left" wrapText="1"/>
    </xf>
    <xf numFmtId="0" fontId="8" fillId="8" borderId="4" xfId="0" applyFont="1" applyFill="1" applyBorder="1" applyAlignment="1">
      <alignment horizontal="left" wrapText="1"/>
    </xf>
    <xf numFmtId="0" fontId="8" fillId="7" borderId="12" xfId="0" applyFont="1" applyFill="1" applyBorder="1" applyAlignment="1">
      <alignment horizontal="left" wrapText="1"/>
    </xf>
    <xf numFmtId="0" fontId="8" fillId="8" borderId="11" xfId="0" applyFont="1" applyFill="1" applyBorder="1" applyAlignment="1">
      <alignment wrapText="1"/>
    </xf>
    <xf numFmtId="0" fontId="12" fillId="10" borderId="12" xfId="0" applyFont="1" applyFill="1" applyBorder="1" applyAlignment="1">
      <alignment horizontal="center" wrapText="1"/>
    </xf>
    <xf numFmtId="0" fontId="8" fillId="8" borderId="0" xfId="0" applyFont="1" applyFill="1" applyAlignment="1">
      <alignment wrapText="1"/>
    </xf>
    <xf numFmtId="164" fontId="8" fillId="8" borderId="8" xfId="0" applyNumberFormat="1" applyFont="1" applyFill="1" applyBorder="1" applyAlignment="1">
      <alignment wrapText="1"/>
    </xf>
    <xf numFmtId="164" fontId="8" fillId="8" borderId="8" xfId="0" applyNumberFormat="1" applyFont="1" applyFill="1" applyBorder="1" applyAlignment="1">
      <alignment horizontal="center" wrapText="1"/>
    </xf>
    <xf numFmtId="0" fontId="0" fillId="8" borderId="8" xfId="0" applyFill="1" applyBorder="1" applyAlignment="1"/>
    <xf numFmtId="0" fontId="3" fillId="10" borderId="12" xfId="0" applyFont="1" applyFill="1" applyBorder="1" applyAlignment="1">
      <alignment wrapText="1"/>
    </xf>
    <xf numFmtId="0" fontId="8" fillId="9" borderId="2" xfId="0" applyFont="1" applyFill="1" applyBorder="1" applyAlignment="1">
      <alignment wrapText="1"/>
    </xf>
    <xf numFmtId="0" fontId="8" fillId="9" borderId="7" xfId="0" applyFont="1" applyFill="1" applyBorder="1" applyAlignment="1">
      <alignment wrapText="1"/>
    </xf>
    <xf numFmtId="0" fontId="3" fillId="7" borderId="12" xfId="0" applyFont="1" applyFill="1" applyBorder="1" applyAlignment="1">
      <alignment wrapText="1"/>
    </xf>
    <xf numFmtId="0" fontId="8" fillId="9" borderId="11" xfId="0" applyFont="1" applyFill="1" applyBorder="1" applyAlignment="1"/>
    <xf numFmtId="0" fontId="3" fillId="7" borderId="6" xfId="0" applyFont="1" applyFill="1" applyBorder="1" applyAlignment="1">
      <alignment wrapText="1"/>
    </xf>
    <xf numFmtId="2" fontId="8" fillId="10" borderId="3" xfId="0" applyNumberFormat="1" applyFont="1" applyFill="1" applyBorder="1" applyAlignment="1">
      <alignment horizontal="center" wrapText="1"/>
    </xf>
    <xf numFmtId="0" fontId="8" fillId="10" borderId="4" xfId="0" applyFont="1" applyFill="1" applyBorder="1" applyAlignment="1">
      <alignment horizontal="center" wrapText="1"/>
    </xf>
    <xf numFmtId="2" fontId="8" fillId="10" borderId="0" xfId="0" applyNumberFormat="1" applyFont="1" applyFill="1" applyAlignment="1">
      <alignment horizontal="center" wrapText="1"/>
    </xf>
    <xf numFmtId="2" fontId="8" fillId="10" borderId="8" xfId="0" applyNumberFormat="1" applyFont="1" applyFill="1" applyBorder="1" applyAlignment="1">
      <alignment horizontal="center" wrapText="1"/>
    </xf>
    <xf numFmtId="0" fontId="8" fillId="10" borderId="9" xfId="0" applyFont="1" applyFill="1" applyBorder="1" applyAlignment="1">
      <alignment horizontal="center" wrapText="1"/>
    </xf>
    <xf numFmtId="0" fontId="8" fillId="7" borderId="4" xfId="0" applyFont="1" applyFill="1" applyBorder="1" applyAlignment="1">
      <alignment wrapText="1"/>
    </xf>
    <xf numFmtId="0" fontId="8" fillId="9" borderId="4" xfId="0" applyFont="1" applyFill="1" applyBorder="1" applyAlignment="1">
      <alignment wrapText="1"/>
    </xf>
    <xf numFmtId="0" fontId="8" fillId="10" borderId="3" xfId="0" applyFont="1" applyFill="1" applyBorder="1" applyAlignment="1">
      <alignment horizontal="center" wrapText="1"/>
    </xf>
    <xf numFmtId="0" fontId="3" fillId="10" borderId="10" xfId="0" applyFont="1" applyFill="1" applyBorder="1" applyAlignment="1">
      <alignmen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wrapText="1"/>
    </xf>
    <xf numFmtId="0" fontId="3" fillId="0" borderId="9" xfId="0" applyFont="1" applyBorder="1" applyAlignment="1">
      <alignment wrapText="1"/>
    </xf>
    <xf numFmtId="0" fontId="2" fillId="0" borderId="0" xfId="0" applyFont="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4" xfId="0" applyFont="1" applyBorder="1" applyAlignment="1">
      <alignment horizontal="left"/>
    </xf>
    <xf numFmtId="49" fontId="3" fillId="0" borderId="1" xfId="0" applyNumberFormat="1"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wrapText="1"/>
    </xf>
    <xf numFmtId="0" fontId="3" fillId="14" borderId="3" xfId="0" applyFont="1" applyFill="1" applyBorder="1" applyAlignment="1">
      <alignment horizontal="center"/>
    </xf>
    <xf numFmtId="0" fontId="3" fillId="14" borderId="2" xfId="0" applyFont="1" applyFill="1" applyBorder="1" applyAlignment="1">
      <alignment horizontal="center"/>
    </xf>
    <xf numFmtId="0" fontId="3" fillId="14" borderId="3" xfId="0" applyFont="1" applyFill="1" applyBorder="1" applyAlignment="1">
      <alignment horizontal="left" wrapText="1"/>
    </xf>
    <xf numFmtId="0" fontId="3" fillId="14" borderId="4" xfId="0" applyFont="1" applyFill="1" applyBorder="1" applyAlignment="1">
      <alignment horizontal="center"/>
    </xf>
    <xf numFmtId="0" fontId="3" fillId="14" borderId="0" xfId="0" applyFont="1" applyFill="1" applyAlignment="1">
      <alignment horizontal="center"/>
    </xf>
    <xf numFmtId="0" fontId="3" fillId="14" borderId="5" xfId="0" applyFont="1" applyFill="1" applyBorder="1" applyAlignment="1">
      <alignment horizontal="center"/>
    </xf>
    <xf numFmtId="0" fontId="3" fillId="14" borderId="0" xfId="0" applyFont="1" applyFill="1" applyAlignment="1">
      <alignment horizontal="left" wrapText="1"/>
    </xf>
    <xf numFmtId="0" fontId="3" fillId="14" borderId="6" xfId="0" applyFont="1" applyFill="1" applyBorder="1" applyAlignment="1">
      <alignment horizontal="center"/>
    </xf>
    <xf numFmtId="0" fontId="3" fillId="14" borderId="8" xfId="0" applyFont="1" applyFill="1" applyBorder="1" applyAlignment="1">
      <alignment horizontal="center"/>
    </xf>
    <xf numFmtId="0" fontId="3" fillId="14" borderId="7" xfId="0" applyFont="1" applyFill="1" applyBorder="1" applyAlignment="1">
      <alignment horizontal="center"/>
    </xf>
    <xf numFmtId="0" fontId="3" fillId="14" borderId="8" xfId="0" applyFont="1" applyFill="1" applyBorder="1" applyAlignment="1">
      <alignment horizontal="left" wrapText="1"/>
    </xf>
    <xf numFmtId="0" fontId="3" fillId="14" borderId="9" xfId="0" applyFont="1" applyFill="1" applyBorder="1" applyAlignment="1">
      <alignment horizontal="center"/>
    </xf>
    <xf numFmtId="0" fontId="3" fillId="14" borderId="3" xfId="0" applyFont="1" applyFill="1" applyBorder="1" applyAlignment="1">
      <alignment horizontal="center" wrapText="1"/>
    </xf>
    <xf numFmtId="0" fontId="3" fillId="14" borderId="0" xfId="0" applyFont="1" applyFill="1" applyAlignment="1">
      <alignment horizontal="center" wrapText="1"/>
    </xf>
    <xf numFmtId="0" fontId="3" fillId="14" borderId="0" xfId="0" applyFont="1" applyFill="1" applyBorder="1" applyAlignment="1">
      <alignment horizontal="center" wrapText="1"/>
    </xf>
    <xf numFmtId="0" fontId="3" fillId="14" borderId="0" xfId="0" applyFont="1" applyFill="1" applyBorder="1" applyAlignment="1">
      <alignment horizontal="center"/>
    </xf>
    <xf numFmtId="0" fontId="3" fillId="14" borderId="0" xfId="0" applyFont="1" applyFill="1" applyBorder="1" applyAlignment="1">
      <alignment horizontal="left" wrapText="1"/>
    </xf>
    <xf numFmtId="0" fontId="3" fillId="14" borderId="8" xfId="0" applyFont="1" applyFill="1" applyBorder="1" applyAlignment="1">
      <alignment horizontal="center" wrapText="1"/>
    </xf>
    <xf numFmtId="0" fontId="3" fillId="14" borderId="2" xfId="0" applyFont="1" applyFill="1" applyBorder="1" applyAlignment="1">
      <alignment wrapText="1"/>
    </xf>
    <xf numFmtId="0" fontId="3" fillId="14" borderId="3" xfId="0" applyFont="1" applyFill="1" applyBorder="1" applyAlignment="1">
      <alignment wrapText="1"/>
    </xf>
    <xf numFmtId="0" fontId="2" fillId="0" borderId="10" xfId="0" applyFont="1" applyBorder="1" applyAlignment="1">
      <alignment horizontal="left"/>
    </xf>
    <xf numFmtId="0" fontId="2" fillId="0" borderId="16" xfId="0" applyFont="1" applyBorder="1" applyAlignment="1">
      <alignment horizontal="left"/>
    </xf>
    <xf numFmtId="49" fontId="3" fillId="0" borderId="17" xfId="0" applyNumberFormat="1" applyFont="1" applyBorder="1" applyAlignment="1">
      <alignment horizontal="center" wrapText="1"/>
    </xf>
    <xf numFmtId="0" fontId="3" fillId="0" borderId="17" xfId="0" applyFont="1" applyBorder="1" applyAlignment="1">
      <alignment horizontal="center"/>
    </xf>
    <xf numFmtId="0" fontId="3" fillId="0" borderId="17" xfId="0" applyFont="1" applyBorder="1" applyAlignment="1">
      <alignment wrapText="1"/>
    </xf>
    <xf numFmtId="0" fontId="3" fillId="14" borderId="10" xfId="0" applyFont="1" applyFill="1" applyBorder="1" applyAlignment="1">
      <alignment horizontal="center"/>
    </xf>
    <xf numFmtId="0" fontId="3" fillId="14" borderId="11" xfId="0" applyFont="1" applyFill="1" applyBorder="1" applyAlignment="1">
      <alignment horizontal="center"/>
    </xf>
    <xf numFmtId="0" fontId="3" fillId="14" borderId="11" xfId="0" applyFont="1" applyFill="1" applyBorder="1" applyAlignment="1">
      <alignment horizontal="left" wrapText="1"/>
    </xf>
    <xf numFmtId="0" fontId="3" fillId="14" borderId="12" xfId="0" applyFont="1" applyFill="1" applyBorder="1" applyAlignment="1">
      <alignment horizontal="center"/>
    </xf>
    <xf numFmtId="0" fontId="3" fillId="14" borderId="11" xfId="0" applyFont="1" applyFill="1" applyBorder="1" applyAlignment="1">
      <alignment horizontal="center" wrapText="1"/>
    </xf>
    <xf numFmtId="0" fontId="5" fillId="14" borderId="8" xfId="0" applyFont="1" applyFill="1" applyBorder="1" applyAlignment="1">
      <alignment horizontal="center"/>
    </xf>
    <xf numFmtId="0" fontId="5" fillId="14" borderId="11" xfId="0" applyFont="1" applyFill="1" applyBorder="1" applyAlignment="1">
      <alignment horizontal="center"/>
    </xf>
    <xf numFmtId="0" fontId="8" fillId="8" borderId="0" xfId="0" applyFont="1" applyFill="1" applyBorder="1" applyAlignment="1">
      <alignment horizontal="left" wrapText="1"/>
    </xf>
    <xf numFmtId="0" fontId="3" fillId="9" borderId="11" xfId="0" applyNumberFormat="1" applyFont="1" applyFill="1" applyBorder="1" applyAlignment="1">
      <alignment horizontal="center" wrapText="1"/>
    </xf>
    <xf numFmtId="0" fontId="5" fillId="9" borderId="11" xfId="0" applyFont="1" applyFill="1" applyBorder="1" applyAlignment="1">
      <alignment horizontal="center" wrapText="1"/>
    </xf>
    <xf numFmtId="164" fontId="8" fillId="9" borderId="0" xfId="0" applyNumberFormat="1" applyFont="1" applyFill="1" applyBorder="1" applyAlignment="1">
      <alignment wrapText="1"/>
    </xf>
    <xf numFmtId="164" fontId="8" fillId="9" borderId="0" xfId="0" applyNumberFormat="1" applyFont="1" applyFill="1" applyBorder="1" applyAlignment="1">
      <alignment horizontal="center" wrapText="1"/>
    </xf>
    <xf numFmtId="0" fontId="8" fillId="7" borderId="3" xfId="0" applyFont="1" applyFill="1" applyBorder="1" applyAlignment="1">
      <alignment wrapText="1"/>
    </xf>
    <xf numFmtId="0" fontId="8" fillId="7" borderId="4" xfId="0" applyFont="1" applyFill="1" applyBorder="1" applyAlignment="1">
      <alignment horizontal="left" wrapText="1"/>
    </xf>
    <xf numFmtId="0" fontId="8" fillId="7" borderId="0" xfId="0" applyFont="1" applyFill="1" applyBorder="1" applyAlignment="1">
      <alignment wrapText="1"/>
    </xf>
    <xf numFmtId="0" fontId="8" fillId="7" borderId="6" xfId="0" applyFont="1" applyFill="1" applyBorder="1" applyAlignment="1">
      <alignment horizontal="left" wrapText="1"/>
    </xf>
    <xf numFmtId="0" fontId="13" fillId="7" borderId="6" xfId="0" applyFont="1" applyFill="1" applyBorder="1" applyAlignment="1">
      <alignment horizontal="left" wrapText="1"/>
    </xf>
    <xf numFmtId="0" fontId="14" fillId="7" borderId="3" xfId="0" applyFont="1" applyFill="1" applyBorder="1" applyAlignment="1">
      <alignment horizontal="center" wrapText="1"/>
    </xf>
    <xf numFmtId="0" fontId="14" fillId="7" borderId="11" xfId="0" applyFont="1" applyFill="1" applyBorder="1" applyAlignment="1">
      <alignment horizontal="center" wrapText="1"/>
    </xf>
    <xf numFmtId="49" fontId="8" fillId="7" borderId="8" xfId="0" applyNumberFormat="1" applyFont="1" applyFill="1" applyBorder="1" applyAlignment="1">
      <alignment horizontal="center" wrapText="1"/>
    </xf>
    <xf numFmtId="0" fontId="12" fillId="7" borderId="8" xfId="0" applyFont="1" applyFill="1" applyBorder="1" applyAlignment="1">
      <alignment horizontal="center" wrapText="1"/>
    </xf>
    <xf numFmtId="49" fontId="3" fillId="10" borderId="0" xfId="0" applyNumberFormat="1" applyFont="1" applyFill="1" applyAlignment="1">
      <alignment horizontal="center"/>
    </xf>
    <xf numFmtId="0" fontId="0" fillId="10" borderId="11" xfId="0" applyFill="1" applyBorder="1" applyAlignment="1">
      <alignment horizontal="center"/>
    </xf>
    <xf numFmtId="0" fontId="8" fillId="0" borderId="0" xfId="0" applyFont="1" applyFill="1"/>
    <xf numFmtId="0" fontId="8" fillId="0" borderId="0" xfId="0" applyFont="1"/>
    <xf numFmtId="0" fontId="8" fillId="0" borderId="0" xfId="0" applyFont="1" applyAlignment="1">
      <alignment horizontal="left"/>
    </xf>
    <xf numFmtId="0" fontId="3" fillId="15" borderId="0" xfId="0" applyFont="1" applyFill="1" applyAlignment="1">
      <alignment wrapText="1"/>
    </xf>
    <xf numFmtId="49" fontId="5" fillId="0" borderId="0" xfId="0" applyNumberFormat="1" applyFont="1" applyFill="1" applyBorder="1" applyAlignment="1">
      <alignment horizontal="center" wrapText="1"/>
    </xf>
    <xf numFmtId="49" fontId="5" fillId="0" borderId="8" xfId="0" applyNumberFormat="1" applyFont="1" applyFill="1" applyBorder="1" applyAlignment="1">
      <alignment horizontal="center" wrapText="1"/>
    </xf>
    <xf numFmtId="49" fontId="5" fillId="7" borderId="3" xfId="0" applyNumberFormat="1" applyFont="1" applyFill="1" applyBorder="1" applyAlignment="1">
      <alignment horizontal="center" wrapText="1"/>
    </xf>
    <xf numFmtId="0" fontId="3" fillId="7" borderId="4" xfId="0" applyFont="1" applyFill="1" applyBorder="1" applyAlignment="1">
      <alignment horizontal="center" wrapText="1"/>
    </xf>
    <xf numFmtId="14" fontId="3" fillId="0" borderId="4" xfId="0" applyNumberFormat="1" applyFont="1" applyBorder="1" applyAlignment="1">
      <alignment horizontal="left" wrapText="1"/>
    </xf>
    <xf numFmtId="0" fontId="3" fillId="7" borderId="0" xfId="0" applyFont="1" applyFill="1" applyAlignment="1">
      <alignment horizontal="center" wrapText="1"/>
    </xf>
    <xf numFmtId="0" fontId="3" fillId="7" borderId="0" xfId="0" applyFont="1" applyFill="1" applyAlignment="1">
      <alignment horizontal="left" wrapText="1"/>
    </xf>
    <xf numFmtId="0" fontId="3" fillId="7" borderId="6" xfId="0" applyFont="1" applyFill="1" applyBorder="1" applyAlignment="1">
      <alignment horizontal="center" wrapText="1"/>
    </xf>
    <xf numFmtId="14" fontId="3" fillId="0" borderId="6" xfId="0" applyNumberFormat="1" applyFont="1" applyBorder="1" applyAlignment="1">
      <alignment horizontal="left" wrapText="1"/>
    </xf>
    <xf numFmtId="0" fontId="8" fillId="7" borderId="9" xfId="0" applyFont="1" applyFill="1" applyBorder="1" applyAlignment="1">
      <alignment horizontal="left" wrapText="1"/>
    </xf>
    <xf numFmtId="0" fontId="3" fillId="7" borderId="9" xfId="0" applyFont="1" applyFill="1" applyBorder="1" applyAlignment="1">
      <alignment horizontal="center" wrapText="1"/>
    </xf>
    <xf numFmtId="14" fontId="3" fillId="0" borderId="9" xfId="0" applyNumberFormat="1" applyFont="1" applyBorder="1" applyAlignment="1">
      <alignment horizontal="left" wrapText="1"/>
    </xf>
    <xf numFmtId="0" fontId="3" fillId="0" borderId="9" xfId="0" applyFont="1" applyBorder="1" applyAlignment="1">
      <alignment horizontal="left" wrapText="1"/>
    </xf>
    <xf numFmtId="0" fontId="3" fillId="0" borderId="4" xfId="0" applyFont="1" applyBorder="1" applyAlignment="1">
      <alignment horizontal="left" wrapText="1"/>
    </xf>
    <xf numFmtId="0" fontId="3" fillId="0" borderId="6" xfId="0" applyFont="1" applyBorder="1" applyAlignment="1">
      <alignment horizontal="left" wrapText="1"/>
    </xf>
    <xf numFmtId="0" fontId="2" fillId="0" borderId="3" xfId="0" applyFont="1" applyBorder="1" applyAlignment="1">
      <alignment horizontal="left" wrapText="1"/>
    </xf>
    <xf numFmtId="0" fontId="2" fillId="0" borderId="8" xfId="0" applyFont="1" applyBorder="1" applyAlignment="1">
      <alignment horizontal="left" wrapText="1"/>
    </xf>
    <xf numFmtId="0" fontId="5" fillId="8" borderId="3" xfId="0" applyFont="1" applyFill="1" applyBorder="1" applyAlignment="1">
      <alignment horizontal="center"/>
    </xf>
    <xf numFmtId="0" fontId="2" fillId="0" borderId="11" xfId="0" applyFont="1" applyBorder="1" applyAlignment="1">
      <alignment horizontal="left"/>
    </xf>
    <xf numFmtId="0" fontId="2" fillId="0" borderId="10" xfId="0" applyFont="1" applyBorder="1" applyAlignment="1">
      <alignment horizontal="left" wrapText="1"/>
    </xf>
    <xf numFmtId="3" fontId="3" fillId="9" borderId="3" xfId="0" applyNumberFormat="1" applyFont="1" applyFill="1" applyBorder="1" applyAlignment="1">
      <alignment horizontal="center" wrapText="1"/>
    </xf>
    <xf numFmtId="0" fontId="3" fillId="7" borderId="5" xfId="0" applyFont="1" applyFill="1" applyBorder="1" applyAlignment="1">
      <alignment wrapText="1"/>
    </xf>
    <xf numFmtId="0" fontId="2" fillId="0" borderId="3" xfId="0" applyFont="1" applyBorder="1" applyAlignment="1">
      <alignment horizontal="left"/>
    </xf>
    <xf numFmtId="49" fontId="5" fillId="0" borderId="0" xfId="0" applyNumberFormat="1" applyFont="1" applyAlignment="1">
      <alignment horizontal="center" wrapText="1"/>
    </xf>
    <xf numFmtId="14" fontId="3" fillId="0" borderId="3" xfId="0" applyNumberFormat="1" applyFont="1" applyBorder="1" applyAlignment="1">
      <alignment horizontal="center" wrapText="1"/>
    </xf>
    <xf numFmtId="14" fontId="3" fillId="0" borderId="0" xfId="0" applyNumberFormat="1" applyFont="1" applyBorder="1" applyAlignment="1">
      <alignment horizontal="center" wrapText="1"/>
    </xf>
    <xf numFmtId="14" fontId="3" fillId="0" borderId="8" xfId="0" applyNumberFormat="1" applyFont="1" applyBorder="1" applyAlignment="1">
      <alignment horizontal="center" wrapText="1"/>
    </xf>
    <xf numFmtId="14" fontId="3" fillId="0" borderId="0" xfId="0" applyNumberFormat="1" applyFont="1" applyAlignment="1">
      <alignment horizontal="center" wrapText="1"/>
    </xf>
    <xf numFmtId="14" fontId="3" fillId="0" borderId="11" xfId="0" applyNumberFormat="1" applyFont="1" applyBorder="1" applyAlignment="1">
      <alignment horizontal="center"/>
    </xf>
    <xf numFmtId="14" fontId="3" fillId="0" borderId="3" xfId="0" applyNumberFormat="1" applyFont="1" applyBorder="1" applyAlignment="1">
      <alignment horizontal="center"/>
    </xf>
    <xf numFmtId="14" fontId="3" fillId="0" borderId="8" xfId="0" applyNumberFormat="1" applyFont="1" applyBorder="1" applyAlignment="1">
      <alignment horizontal="center"/>
    </xf>
    <xf numFmtId="14" fontId="3" fillId="0" borderId="0" xfId="0" applyNumberFormat="1" applyFont="1" applyBorder="1" applyAlignment="1">
      <alignment horizontal="center"/>
    </xf>
    <xf numFmtId="14" fontId="3" fillId="0" borderId="0" xfId="0" applyNumberFormat="1" applyFont="1" applyAlignment="1">
      <alignment horizontal="center"/>
    </xf>
    <xf numFmtId="14" fontId="3" fillId="0" borderId="1" xfId="0" applyNumberFormat="1" applyFont="1" applyBorder="1" applyAlignment="1">
      <alignment horizontal="center"/>
    </xf>
    <xf numFmtId="14" fontId="3" fillId="0" borderId="3" xfId="0" applyNumberFormat="1" applyFont="1" applyFill="1" applyBorder="1" applyAlignment="1">
      <alignment horizontal="center"/>
    </xf>
    <xf numFmtId="14" fontId="3" fillId="0" borderId="8" xfId="0" applyNumberFormat="1" applyFont="1" applyFill="1" applyBorder="1" applyAlignment="1">
      <alignment horizontal="center"/>
    </xf>
    <xf numFmtId="14" fontId="3" fillId="0" borderId="11" xfId="0" applyNumberFormat="1" applyFont="1" applyFill="1" applyBorder="1" applyAlignment="1">
      <alignment horizontal="center" wrapText="1"/>
    </xf>
    <xf numFmtId="14" fontId="3" fillId="0" borderId="3" xfId="0" applyNumberFormat="1" applyFont="1" applyFill="1" applyBorder="1" applyAlignment="1">
      <alignment horizontal="center" wrapText="1"/>
    </xf>
    <xf numFmtId="14" fontId="3" fillId="0" borderId="0" xfId="0" applyNumberFormat="1" applyFont="1" applyFill="1" applyBorder="1" applyAlignment="1">
      <alignment horizontal="center" wrapText="1"/>
    </xf>
    <xf numFmtId="14" fontId="3" fillId="0" borderId="8" xfId="0" applyNumberFormat="1" applyFont="1" applyFill="1" applyBorder="1" applyAlignment="1">
      <alignment horizontal="center" wrapText="1"/>
    </xf>
    <xf numFmtId="14" fontId="3" fillId="0" borderId="0" xfId="0" applyNumberFormat="1" applyFont="1" applyFill="1" applyBorder="1" applyAlignment="1">
      <alignment horizontal="center"/>
    </xf>
    <xf numFmtId="14" fontId="3" fillId="0" borderId="11" xfId="0" applyNumberFormat="1" applyFont="1" applyFill="1" applyBorder="1" applyAlignment="1">
      <alignment horizontal="center"/>
    </xf>
    <xf numFmtId="14" fontId="3" fillId="0" borderId="17" xfId="0" applyNumberFormat="1" applyFont="1" applyBorder="1" applyAlignment="1">
      <alignment horizontal="center"/>
    </xf>
    <xf numFmtId="49" fontId="5" fillId="0" borderId="11"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8" xfId="0" applyNumberFormat="1" applyFont="1" applyBorder="1" applyAlignment="1">
      <alignment horizontal="center" wrapText="1"/>
    </xf>
    <xf numFmtId="1" fontId="2" fillId="0" borderId="7" xfId="0" applyNumberFormat="1" applyFont="1" applyBorder="1" applyAlignment="1">
      <alignment horizontal="left"/>
    </xf>
    <xf numFmtId="1" fontId="2" fillId="0" borderId="5" xfId="0" applyNumberFormat="1" applyFont="1" applyBorder="1" applyAlignment="1">
      <alignment horizontal="left"/>
    </xf>
    <xf numFmtId="1" fontId="2" fillId="0" borderId="3" xfId="0" applyNumberFormat="1" applyFont="1" applyBorder="1" applyAlignment="1">
      <alignment horizontal="left"/>
    </xf>
    <xf numFmtId="1" fontId="2" fillId="0" borderId="8" xfId="0" applyNumberFormat="1" applyFont="1" applyBorder="1" applyAlignment="1">
      <alignment horizontal="left"/>
    </xf>
    <xf numFmtId="1" fontId="2" fillId="0" borderId="10" xfId="0" applyNumberFormat="1" applyFont="1" applyBorder="1" applyAlignment="1">
      <alignment horizontal="left"/>
    </xf>
    <xf numFmtId="1" fontId="2" fillId="0" borderId="11" xfId="0" applyNumberFormat="1" applyFont="1" applyBorder="1" applyAlignment="1">
      <alignment horizontal="left"/>
    </xf>
    <xf numFmtId="1" fontId="2" fillId="0" borderId="2" xfId="0" applyNumberFormat="1" applyFont="1" applyBorder="1" applyAlignment="1">
      <alignment horizontal="left"/>
    </xf>
    <xf numFmtId="1" fontId="2" fillId="0" borderId="0" xfId="0" applyNumberFormat="1" applyFont="1" applyAlignment="1">
      <alignment horizontal="left"/>
    </xf>
    <xf numFmtId="1" fontId="3" fillId="0" borderId="3" xfId="0" applyNumberFormat="1" applyFont="1" applyBorder="1" applyAlignment="1">
      <alignment horizontal="center"/>
    </xf>
    <xf numFmtId="0" fontId="10" fillId="0" borderId="0" xfId="0" applyFont="1" applyAlignment="1">
      <alignment horizontal="left"/>
    </xf>
    <xf numFmtId="0" fontId="10" fillId="0" borderId="0" xfId="0" applyFont="1"/>
    <xf numFmtId="0" fontId="6" fillId="0" borderId="0" xfId="0" applyFont="1" applyAlignment="1">
      <alignment horizontal="left" vertical="top"/>
    </xf>
    <xf numFmtId="0" fontId="8" fillId="11" borderId="0" xfId="0" applyFont="1" applyFill="1" applyAlignment="1"/>
    <xf numFmtId="0" fontId="6" fillId="0" borderId="0" xfId="0" applyFont="1" applyAlignment="1">
      <alignment horizontal="left"/>
    </xf>
    <xf numFmtId="0" fontId="8" fillId="11" borderId="0" xfId="0" applyFont="1" applyFill="1"/>
    <xf numFmtId="0" fontId="8" fillId="12" borderId="0" xfId="0" applyFont="1" applyFill="1" applyAlignment="1"/>
    <xf numFmtId="0" fontId="3" fillId="7" borderId="8" xfId="0" applyFont="1" applyFill="1" applyBorder="1" applyAlignment="1">
      <alignment wrapText="1"/>
    </xf>
    <xf numFmtId="0" fontId="8" fillId="9" borderId="0" xfId="0" applyFont="1" applyFill="1" applyBorder="1" applyAlignment="1"/>
    <xf numFmtId="0" fontId="3" fillId="14" borderId="11" xfId="0" applyFont="1" applyFill="1" applyBorder="1" applyAlignment="1"/>
    <xf numFmtId="0" fontId="8" fillId="10" borderId="3" xfId="0" applyFont="1" applyFill="1" applyBorder="1" applyAlignment="1">
      <alignment wrapText="1"/>
    </xf>
    <xf numFmtId="0" fontId="3" fillId="14" borderId="3" xfId="0" applyFont="1" applyFill="1" applyBorder="1" applyAlignment="1"/>
    <xf numFmtId="0" fontId="3" fillId="14" borderId="0" xfId="0" applyFont="1" applyFill="1" applyAlignment="1"/>
    <xf numFmtId="0" fontId="3" fillId="14" borderId="8" xfId="0" applyFont="1" applyFill="1" applyBorder="1" applyAlignment="1"/>
    <xf numFmtId="0" fontId="3" fillId="7" borderId="0" xfId="0" applyFont="1" applyFill="1" applyAlignment="1"/>
    <xf numFmtId="0" fontId="3" fillId="14" borderId="0" xfId="0" applyFont="1" applyFill="1" applyBorder="1" applyAlignment="1"/>
    <xf numFmtId="0" fontId="3" fillId="7" borderId="2" xfId="0" applyFont="1" applyFill="1" applyBorder="1" applyAlignment="1">
      <alignment horizontal="center" wrapText="1"/>
    </xf>
    <xf numFmtId="0" fontId="3" fillId="7" borderId="0" xfId="0" applyFont="1" applyFill="1" applyAlignment="1">
      <alignment wrapText="1"/>
    </xf>
    <xf numFmtId="0" fontId="3" fillId="7" borderId="5" xfId="0" applyFont="1" applyFill="1" applyBorder="1" applyAlignment="1">
      <alignment horizontal="center" wrapText="1"/>
    </xf>
    <xf numFmtId="0" fontId="3" fillId="7" borderId="7" xfId="0" applyFont="1" applyFill="1" applyBorder="1" applyAlignment="1">
      <alignment horizontal="center" wrapText="1"/>
    </xf>
    <xf numFmtId="0" fontId="3" fillId="7" borderId="7" xfId="0" applyFont="1" applyFill="1" applyBorder="1" applyAlignment="1">
      <alignment wrapText="1"/>
    </xf>
    <xf numFmtId="49" fontId="5" fillId="14" borderId="11" xfId="0" applyNumberFormat="1" applyFont="1" applyFill="1" applyBorder="1" applyAlignment="1">
      <alignment horizontal="center"/>
    </xf>
    <xf numFmtId="0" fontId="4" fillId="8" borderId="0" xfId="0" applyFont="1" applyFill="1" applyAlignment="1">
      <alignment horizontal="center"/>
    </xf>
    <xf numFmtId="1" fontId="3" fillId="0" borderId="0" xfId="0" applyNumberFormat="1" applyFont="1" applyBorder="1" applyAlignment="1">
      <alignment horizontal="center"/>
    </xf>
    <xf numFmtId="0" fontId="2" fillId="8" borderId="6" xfId="0" applyFont="1" applyFill="1" applyBorder="1" applyAlignment="1">
      <alignment horizontal="center" wrapText="1"/>
    </xf>
    <xf numFmtId="0" fontId="3" fillId="8" borderId="14" xfId="0" applyFont="1" applyFill="1" applyBorder="1" applyAlignment="1">
      <alignment horizontal="center"/>
    </xf>
    <xf numFmtId="0" fontId="3" fillId="8" borderId="1" xfId="0" applyFont="1" applyFill="1" applyBorder="1" applyAlignment="1">
      <alignment horizontal="center"/>
    </xf>
    <xf numFmtId="0" fontId="3" fillId="8" borderId="1" xfId="0" applyFont="1" applyFill="1" applyBorder="1" applyAlignment="1">
      <alignment horizontal="left" wrapText="1"/>
    </xf>
    <xf numFmtId="0" fontId="3" fillId="8" borderId="15" xfId="0" applyFont="1" applyFill="1" applyBorder="1" applyAlignment="1">
      <alignment horizontal="center"/>
    </xf>
    <xf numFmtId="49" fontId="5" fillId="9" borderId="3"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10" xfId="0" applyFont="1" applyFill="1" applyBorder="1" applyAlignment="1">
      <alignment horizontal="left"/>
    </xf>
    <xf numFmtId="0" fontId="3" fillId="8" borderId="2" xfId="0" applyFont="1" applyFill="1" applyBorder="1" applyAlignment="1">
      <alignment horizontal="left" wrapText="1"/>
    </xf>
    <xf numFmtId="0" fontId="3" fillId="9" borderId="14" xfId="0" applyFont="1" applyFill="1" applyBorder="1" applyAlignment="1">
      <alignment horizontal="center"/>
    </xf>
    <xf numFmtId="0" fontId="3" fillId="9" borderId="1" xfId="0" applyFont="1" applyFill="1" applyBorder="1" applyAlignment="1">
      <alignment horizontal="center"/>
    </xf>
    <xf numFmtId="0" fontId="3" fillId="9" borderId="1" xfId="0" applyFont="1" applyFill="1" applyBorder="1" applyAlignment="1">
      <alignment horizontal="left" wrapText="1"/>
    </xf>
    <xf numFmtId="0" fontId="3" fillId="9" borderId="15" xfId="0" applyFont="1" applyFill="1" applyBorder="1" applyAlignment="1">
      <alignment horizontal="center"/>
    </xf>
    <xf numFmtId="0" fontId="3" fillId="10" borderId="2" xfId="0" applyFont="1" applyFill="1" applyBorder="1" applyAlignment="1">
      <alignment wrapText="1"/>
    </xf>
    <xf numFmtId="0" fontId="3" fillId="10" borderId="5" xfId="0" applyFont="1" applyFill="1" applyBorder="1" applyAlignment="1">
      <alignment wrapText="1"/>
    </xf>
    <xf numFmtId="0" fontId="3" fillId="10" borderId="7" xfId="0" applyFont="1" applyFill="1" applyBorder="1" applyAlignment="1">
      <alignment wrapText="1"/>
    </xf>
    <xf numFmtId="0" fontId="2" fillId="10" borderId="11" xfId="0" applyFont="1" applyFill="1" applyBorder="1" applyAlignment="1">
      <alignment horizontal="center"/>
    </xf>
    <xf numFmtId="0" fontId="2" fillId="10" borderId="8" xfId="0" applyFont="1" applyFill="1" applyBorder="1" applyAlignment="1">
      <alignment horizontal="center"/>
    </xf>
    <xf numFmtId="49" fontId="3" fillId="9" borderId="8" xfId="0" applyNumberFormat="1" applyFont="1" applyFill="1" applyBorder="1" applyAlignment="1">
      <alignment horizontal="center" wrapText="1"/>
    </xf>
    <xf numFmtId="0" fontId="4" fillId="9" borderId="3" xfId="0" applyFont="1" applyFill="1" applyBorder="1" applyAlignment="1">
      <alignment horizontal="center" wrapText="1"/>
    </xf>
    <xf numFmtId="0" fontId="4" fillId="9" borderId="4" xfId="0" applyFont="1" applyFill="1" applyBorder="1" applyAlignment="1">
      <alignment horizontal="left" wrapText="1"/>
    </xf>
    <xf numFmtId="0" fontId="4" fillId="9" borderId="6" xfId="0" applyFont="1" applyFill="1" applyBorder="1" applyAlignment="1">
      <alignment horizontal="left" wrapText="1"/>
    </xf>
    <xf numFmtId="0" fontId="4" fillId="9" borderId="8" xfId="0" applyFont="1" applyFill="1" applyBorder="1" applyAlignment="1">
      <alignment horizontal="center" wrapText="1"/>
    </xf>
    <xf numFmtId="0" fontId="4" fillId="9" borderId="9" xfId="0" applyFont="1" applyFill="1" applyBorder="1" applyAlignment="1">
      <alignment horizontal="left" wrapText="1"/>
    </xf>
    <xf numFmtId="0" fontId="3" fillId="14" borderId="10" xfId="0" applyFont="1" applyFill="1" applyBorder="1" applyAlignment="1">
      <alignment wrapText="1"/>
    </xf>
    <xf numFmtId="49" fontId="3" fillId="14" borderId="11" xfId="0" applyNumberFormat="1" applyFont="1" applyFill="1" applyBorder="1" applyAlignment="1">
      <alignment horizontal="center"/>
    </xf>
    <xf numFmtId="0" fontId="3" fillId="9" borderId="11" xfId="0" quotePrefix="1" applyFont="1" applyFill="1" applyBorder="1" applyAlignment="1">
      <alignment horizontal="center"/>
    </xf>
    <xf numFmtId="0" fontId="3" fillId="16" borderId="3" xfId="0" applyFont="1" applyFill="1" applyBorder="1" applyAlignment="1">
      <alignment horizontal="center"/>
    </xf>
    <xf numFmtId="49" fontId="3" fillId="16" borderId="3" xfId="0" applyNumberFormat="1" applyFont="1" applyFill="1" applyBorder="1" applyAlignment="1">
      <alignment horizontal="center"/>
    </xf>
    <xf numFmtId="0" fontId="3" fillId="16" borderId="8" xfId="0" applyFont="1" applyFill="1" applyBorder="1" applyAlignment="1">
      <alignment horizontal="center"/>
    </xf>
    <xf numFmtId="49" fontId="3" fillId="16" borderId="8" xfId="0" applyNumberFormat="1" applyFont="1" applyFill="1" applyBorder="1" applyAlignment="1">
      <alignment horizontal="center"/>
    </xf>
    <xf numFmtId="0" fontId="3" fillId="16" borderId="7" xfId="0" applyFont="1" applyFill="1" applyBorder="1" applyAlignment="1">
      <alignment horizontal="center"/>
    </xf>
    <xf numFmtId="0" fontId="3" fillId="16" borderId="8" xfId="0" applyFont="1" applyFill="1" applyBorder="1" applyAlignment="1">
      <alignment horizontal="left" wrapText="1"/>
    </xf>
    <xf numFmtId="0" fontId="3" fillId="16" borderId="9" xfId="0" applyFont="1" applyFill="1" applyBorder="1" applyAlignment="1">
      <alignment horizontal="center"/>
    </xf>
    <xf numFmtId="0" fontId="3" fillId="0" borderId="7" xfId="0" applyFont="1" applyBorder="1" applyAlignment="1">
      <alignment wrapText="1"/>
    </xf>
    <xf numFmtId="0" fontId="3" fillId="16" borderId="10" xfId="0" applyFont="1" applyFill="1" applyBorder="1" applyAlignment="1">
      <alignment horizontal="center"/>
    </xf>
    <xf numFmtId="0" fontId="3" fillId="16" borderId="11" xfId="0" applyFont="1" applyFill="1" applyBorder="1" applyAlignment="1">
      <alignment horizontal="center"/>
    </xf>
    <xf numFmtId="0" fontId="3" fillId="16" borderId="11" xfId="0" applyFont="1" applyFill="1" applyBorder="1" applyAlignment="1">
      <alignment horizontal="left" wrapText="1"/>
    </xf>
    <xf numFmtId="0" fontId="3" fillId="16" borderId="12" xfId="0" applyFont="1" applyFill="1" applyBorder="1" applyAlignment="1">
      <alignment horizontal="center"/>
    </xf>
    <xf numFmtId="0" fontId="3" fillId="0" borderId="10" xfId="0" applyFont="1" applyBorder="1" applyAlignment="1">
      <alignment horizontal="left" wrapText="1"/>
    </xf>
    <xf numFmtId="14" fontId="3" fillId="0" borderId="11" xfId="0" applyNumberFormat="1" applyFont="1" applyBorder="1" applyAlignment="1">
      <alignment horizontal="left" wrapText="1"/>
    </xf>
    <xf numFmtId="14" fontId="3" fillId="0" borderId="12" xfId="0" applyNumberFormat="1" applyFont="1" applyBorder="1" applyAlignment="1">
      <alignment horizontal="left" wrapText="1"/>
    </xf>
    <xf numFmtId="0" fontId="3" fillId="0" borderId="12" xfId="0" applyFont="1" applyBorder="1" applyAlignment="1">
      <alignment horizontal="left" wrapText="1"/>
    </xf>
    <xf numFmtId="0" fontId="8" fillId="13" borderId="11" xfId="0" applyFont="1" applyFill="1" applyBorder="1" applyAlignment="1">
      <alignment wrapText="1"/>
    </xf>
    <xf numFmtId="0" fontId="3" fillId="0" borderId="10" xfId="0" applyFont="1" applyBorder="1" applyAlignment="1">
      <alignment horizontal="left"/>
    </xf>
    <xf numFmtId="49" fontId="8" fillId="8" borderId="11" xfId="0" applyNumberFormat="1" applyFont="1" applyFill="1" applyBorder="1" applyAlignment="1">
      <alignment horizontal="center"/>
    </xf>
    <xf numFmtId="0" fontId="5" fillId="8" borderId="11" xfId="0" applyFont="1" applyFill="1" applyBorder="1" applyAlignment="1">
      <alignment horizontal="center"/>
    </xf>
    <xf numFmtId="16" fontId="3" fillId="9" borderId="3" xfId="0" applyNumberFormat="1" applyFont="1" applyFill="1" applyBorder="1" applyAlignment="1">
      <alignment horizontal="center"/>
    </xf>
    <xf numFmtId="16" fontId="3" fillId="9" borderId="11" xfId="0" applyNumberFormat="1" applyFont="1" applyFill="1" applyBorder="1" applyAlignment="1">
      <alignment horizontal="center"/>
    </xf>
    <xf numFmtId="0" fontId="8" fillId="0" borderId="10" xfId="0" applyFont="1" applyBorder="1" applyAlignment="1">
      <alignment horizontal="left" wrapText="1"/>
    </xf>
    <xf numFmtId="0" fontId="3" fillId="9" borderId="7" xfId="0" applyFont="1" applyFill="1" applyBorder="1" applyAlignment="1">
      <alignment horizontal="center" wrapText="1"/>
    </xf>
    <xf numFmtId="0" fontId="2" fillId="3" borderId="0" xfId="0" applyFont="1" applyFill="1" applyBorder="1" applyAlignment="1">
      <alignment horizontal="left" wrapText="1"/>
    </xf>
    <xf numFmtId="0" fontId="3" fillId="0" borderId="2" xfId="0" applyFont="1" applyFill="1" applyBorder="1" applyAlignment="1">
      <alignment horizontal="left" wrapText="1"/>
    </xf>
    <xf numFmtId="0" fontId="3" fillId="0" borderId="5" xfId="0" applyFont="1" applyFill="1" applyBorder="1" applyAlignment="1">
      <alignment horizontal="left" wrapText="1"/>
    </xf>
    <xf numFmtId="0" fontId="3" fillId="0" borderId="7" xfId="0" applyFont="1" applyFill="1" applyBorder="1" applyAlignment="1">
      <alignment horizontal="left" wrapText="1"/>
    </xf>
    <xf numFmtId="0" fontId="3" fillId="0" borderId="5" xfId="0" applyFont="1" applyFill="1" applyBorder="1" applyAlignment="1">
      <alignment horizontal="left"/>
    </xf>
    <xf numFmtId="0" fontId="3" fillId="0" borderId="7" xfId="0" applyFont="1" applyBorder="1" applyAlignment="1">
      <alignment horizontal="left"/>
    </xf>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7" xfId="0" applyFont="1" applyBorder="1" applyAlignment="1">
      <alignment horizontal="left" wrapText="1"/>
    </xf>
    <xf numFmtId="0" fontId="3" fillId="0" borderId="2" xfId="0" applyFont="1" applyBorder="1" applyAlignment="1">
      <alignment wrapText="1"/>
    </xf>
    <xf numFmtId="0" fontId="3" fillId="0" borderId="5" xfId="0" applyFont="1" applyBorder="1" applyAlignment="1">
      <alignment wrapText="1"/>
    </xf>
    <xf numFmtId="49" fontId="8" fillId="9" borderId="0" xfId="0" applyNumberFormat="1" applyFont="1" applyFill="1" applyBorder="1" applyAlignment="1">
      <alignment horizontal="center"/>
    </xf>
    <xf numFmtId="0" fontId="8" fillId="8" borderId="8" xfId="0" applyFont="1" applyFill="1" applyBorder="1" applyAlignment="1"/>
    <xf numFmtId="0" fontId="8" fillId="10" borderId="3" xfId="0" applyFont="1" applyFill="1" applyBorder="1" applyAlignment="1"/>
    <xf numFmtId="0" fontId="8" fillId="10" borderId="0" xfId="0" applyFont="1" applyFill="1" applyBorder="1" applyAlignment="1"/>
    <xf numFmtId="0" fontId="8" fillId="10" borderId="8" xfId="0" applyFont="1" applyFill="1" applyBorder="1" applyAlignment="1"/>
    <xf numFmtId="0" fontId="8" fillId="8" borderId="11" xfId="0" applyFont="1" applyFill="1" applyBorder="1" applyAlignment="1"/>
    <xf numFmtId="0" fontId="0" fillId="7" borderId="0" xfId="0" applyFill="1" applyBorder="1" applyAlignment="1"/>
    <xf numFmtId="0" fontId="0" fillId="7" borderId="8" xfId="0" applyFill="1" applyBorder="1" applyAlignment="1"/>
    <xf numFmtId="0" fontId="3" fillId="16" borderId="3" xfId="0" applyFont="1" applyFill="1" applyBorder="1" applyAlignment="1"/>
    <xf numFmtId="0" fontId="3" fillId="16" borderId="8" xfId="0" applyFont="1" applyFill="1" applyBorder="1" applyAlignment="1"/>
    <xf numFmtId="49" fontId="8" fillId="8" borderId="3" xfId="0" applyNumberFormat="1" applyFont="1" applyFill="1" applyBorder="1" applyAlignment="1">
      <alignment horizontal="center"/>
    </xf>
    <xf numFmtId="49" fontId="8" fillId="8" borderId="8" xfId="0" applyNumberFormat="1" applyFont="1" applyFill="1" applyBorder="1" applyAlignment="1">
      <alignment horizontal="center"/>
    </xf>
    <xf numFmtId="0" fontId="3" fillId="0" borderId="10" xfId="0" applyFont="1" applyBorder="1" applyAlignment="1">
      <alignment wrapText="1"/>
    </xf>
    <xf numFmtId="0" fontId="0" fillId="0" borderId="0" xfId="0" applyAlignment="1"/>
    <xf numFmtId="0" fontId="0" fillId="0" borderId="0" xfId="0" applyFont="1" applyFill="1" applyAlignment="1"/>
    <xf numFmtId="0" fontId="0" fillId="0" borderId="0" xfId="0" applyFill="1" applyBorder="1" applyAlignment="1"/>
    <xf numFmtId="0" fontId="0" fillId="0" borderId="0" xfId="0" applyFill="1" applyAlignment="1"/>
    <xf numFmtId="0" fontId="3" fillId="8" borderId="4" xfId="0" applyFont="1" applyFill="1" applyBorder="1" applyAlignment="1"/>
    <xf numFmtId="14" fontId="3" fillId="0" borderId="3" xfId="0" applyNumberFormat="1" applyFont="1" applyBorder="1" applyAlignment="1"/>
    <xf numFmtId="0" fontId="3" fillId="8" borderId="6" xfId="0" applyFont="1" applyFill="1" applyBorder="1" applyAlignment="1"/>
    <xf numFmtId="0" fontId="3" fillId="8" borderId="9" xfId="0" applyFont="1" applyFill="1" applyBorder="1" applyAlignment="1"/>
    <xf numFmtId="14" fontId="3" fillId="0" borderId="8" xfId="0" applyNumberFormat="1" applyFont="1" applyBorder="1" applyAlignment="1"/>
    <xf numFmtId="0" fontId="3" fillId="14" borderId="12" xfId="0" applyFont="1" applyFill="1" applyBorder="1" applyAlignment="1"/>
    <xf numFmtId="0" fontId="3" fillId="9" borderId="4" xfId="0" applyFont="1" applyFill="1" applyBorder="1" applyAlignment="1"/>
    <xf numFmtId="0" fontId="3" fillId="9" borderId="6" xfId="0" applyFont="1" applyFill="1" applyBorder="1" applyAlignment="1"/>
    <xf numFmtId="0" fontId="3" fillId="9" borderId="9" xfId="0" applyFont="1" applyFill="1" applyBorder="1" applyAlignment="1"/>
    <xf numFmtId="0" fontId="0" fillId="7" borderId="6" xfId="0" applyFill="1" applyBorder="1" applyAlignment="1"/>
    <xf numFmtId="0" fontId="0" fillId="7" borderId="9" xfId="0" applyFill="1" applyBorder="1" applyAlignment="1"/>
    <xf numFmtId="0" fontId="3" fillId="9" borderId="12" xfId="0" applyFont="1" applyFill="1" applyBorder="1" applyAlignment="1"/>
    <xf numFmtId="0" fontId="3" fillId="10" borderId="12" xfId="0" applyFont="1" applyFill="1" applyBorder="1" applyAlignment="1"/>
    <xf numFmtId="0" fontId="3" fillId="8" borderId="12" xfId="0" applyFont="1" applyFill="1" applyBorder="1" applyAlignment="1"/>
    <xf numFmtId="14" fontId="3" fillId="0" borderId="11" xfId="0" applyNumberFormat="1" applyFont="1" applyBorder="1" applyAlignment="1"/>
    <xf numFmtId="0" fontId="3" fillId="7" borderId="4" xfId="0" applyFont="1" applyFill="1" applyBorder="1" applyAlignment="1"/>
    <xf numFmtId="0" fontId="3" fillId="7" borderId="6" xfId="0" applyFont="1" applyFill="1" applyBorder="1" applyAlignment="1"/>
    <xf numFmtId="0" fontId="3" fillId="7" borderId="9" xfId="0" applyFont="1" applyFill="1" applyBorder="1" applyAlignment="1"/>
    <xf numFmtId="0" fontId="8" fillId="0" borderId="2" xfId="0" applyFont="1" applyBorder="1" applyAlignment="1">
      <alignment wrapText="1"/>
    </xf>
    <xf numFmtId="0" fontId="8" fillId="0" borderId="5" xfId="0" applyFont="1" applyBorder="1" applyAlignment="1">
      <alignment wrapText="1"/>
    </xf>
    <xf numFmtId="0" fontId="8" fillId="0" borderId="7" xfId="0" applyFont="1" applyBorder="1" applyAlignment="1">
      <alignment wrapText="1"/>
    </xf>
    <xf numFmtId="0" fontId="0" fillId="0" borderId="0" xfId="0" applyBorder="1" applyAlignment="1">
      <alignment horizontal="left"/>
    </xf>
    <xf numFmtId="14" fontId="3" fillId="0" borderId="0" xfId="0" applyNumberFormat="1" applyFont="1" applyBorder="1" applyAlignment="1">
      <alignment horizontal="left" wrapText="1"/>
    </xf>
    <xf numFmtId="1" fontId="8" fillId="9" borderId="0" xfId="0" applyNumberFormat="1" applyFont="1" applyFill="1" applyBorder="1" applyAlignment="1">
      <alignment horizontal="center" wrapText="1"/>
    </xf>
    <xf numFmtId="1" fontId="8" fillId="9" borderId="3" xfId="0" applyNumberFormat="1" applyFont="1" applyFill="1" applyBorder="1" applyAlignment="1">
      <alignment horizontal="center" wrapText="1"/>
    </xf>
    <xf numFmtId="1" fontId="8" fillId="9" borderId="8" xfId="0" applyNumberFormat="1" applyFont="1" applyFill="1" applyBorder="1" applyAlignment="1">
      <alignment horizontal="center" wrapText="1"/>
    </xf>
    <xf numFmtId="0" fontId="3" fillId="0" borderId="2" xfId="0" applyFont="1" applyBorder="1" applyAlignment="1">
      <alignment horizontal="left" wrapText="1"/>
    </xf>
    <xf numFmtId="14" fontId="3" fillId="0" borderId="3" xfId="0" applyNumberFormat="1" applyFont="1" applyBorder="1" applyAlignment="1">
      <alignment horizontal="left" wrapText="1"/>
    </xf>
    <xf numFmtId="0" fontId="3" fillId="0" borderId="5" xfId="0" applyFont="1" applyBorder="1" applyAlignment="1">
      <alignment horizontal="left" wrapText="1"/>
    </xf>
    <xf numFmtId="14" fontId="3" fillId="0" borderId="8" xfId="0" applyNumberFormat="1" applyFont="1" applyBorder="1" applyAlignment="1">
      <alignment horizontal="left" wrapText="1"/>
    </xf>
    <xf numFmtId="0" fontId="5" fillId="9" borderId="3" xfId="0" applyFont="1" applyFill="1" applyBorder="1" applyAlignment="1">
      <alignment horizontal="center" wrapText="1"/>
    </xf>
    <xf numFmtId="0" fontId="5" fillId="9" borderId="0" xfId="0" applyFont="1" applyFill="1" applyBorder="1" applyAlignment="1">
      <alignment horizontal="center" wrapText="1"/>
    </xf>
    <xf numFmtId="1" fontId="2" fillId="6" borderId="0" xfId="0" applyNumberFormat="1" applyFont="1" applyFill="1" applyAlignment="1">
      <alignment horizontal="center"/>
    </xf>
    <xf numFmtId="1" fontId="4" fillId="0" borderId="0" xfId="0" applyNumberFormat="1" applyFont="1" applyFill="1" applyBorder="1" applyAlignment="1">
      <alignment horizontal="center" wrapText="1"/>
    </xf>
    <xf numFmtId="1" fontId="8" fillId="8" borderId="11" xfId="0" applyNumberFormat="1" applyFont="1" applyFill="1" applyBorder="1" applyAlignment="1">
      <alignment horizontal="center" wrapText="1"/>
    </xf>
    <xf numFmtId="1" fontId="8" fillId="9" borderId="11" xfId="0" applyNumberFormat="1" applyFont="1" applyFill="1" applyBorder="1" applyAlignment="1">
      <alignment horizontal="center" wrapText="1"/>
    </xf>
    <xf numFmtId="1" fontId="8" fillId="8" borderId="3" xfId="0" applyNumberFormat="1" applyFont="1" applyFill="1" applyBorder="1" applyAlignment="1">
      <alignment horizontal="center" wrapText="1"/>
    </xf>
    <xf numFmtId="1" fontId="8" fillId="8" borderId="8" xfId="0" applyNumberFormat="1" applyFont="1" applyFill="1" applyBorder="1" applyAlignment="1">
      <alignment horizontal="center" wrapText="1"/>
    </xf>
    <xf numFmtId="1" fontId="3" fillId="9" borderId="3" xfId="0" applyNumberFormat="1" applyFont="1" applyFill="1" applyBorder="1" applyAlignment="1">
      <alignment horizontal="center"/>
    </xf>
    <xf numFmtId="1" fontId="3" fillId="9" borderId="8" xfId="0" applyNumberFormat="1" applyFont="1" applyFill="1" applyBorder="1" applyAlignment="1">
      <alignment horizontal="center"/>
    </xf>
    <xf numFmtId="1" fontId="3" fillId="9" borderId="0" xfId="0" applyNumberFormat="1" applyFont="1" applyFill="1" applyBorder="1" applyAlignment="1">
      <alignment horizontal="center"/>
    </xf>
    <xf numFmtId="1" fontId="3" fillId="8" borderId="3" xfId="0" applyNumberFormat="1" applyFont="1" applyFill="1" applyBorder="1" applyAlignment="1">
      <alignment horizontal="center"/>
    </xf>
    <xf numFmtId="1" fontId="3" fillId="8" borderId="0" xfId="0" applyNumberFormat="1" applyFont="1" applyFill="1" applyBorder="1" applyAlignment="1">
      <alignment horizontal="center"/>
    </xf>
    <xf numFmtId="1" fontId="3" fillId="8" borderId="8" xfId="0" applyNumberFormat="1" applyFont="1" applyFill="1" applyBorder="1" applyAlignment="1">
      <alignment horizontal="center"/>
    </xf>
    <xf numFmtId="1" fontId="8" fillId="10" borderId="11" xfId="0" applyNumberFormat="1" applyFont="1" applyFill="1" applyBorder="1" applyAlignment="1">
      <alignment horizontal="center" wrapText="1"/>
    </xf>
    <xf numFmtId="1" fontId="3" fillId="7" borderId="11" xfId="0" applyNumberFormat="1" applyFont="1" applyFill="1" applyBorder="1" applyAlignment="1">
      <alignment horizontal="center"/>
    </xf>
    <xf numFmtId="1" fontId="3" fillId="10" borderId="0" xfId="0" applyNumberFormat="1" applyFont="1" applyFill="1" applyBorder="1" applyAlignment="1">
      <alignment horizontal="center"/>
    </xf>
    <xf numFmtId="1" fontId="8" fillId="9" borderId="0" xfId="0" applyNumberFormat="1" applyFont="1" applyFill="1" applyAlignment="1">
      <alignment horizontal="center" wrapText="1"/>
    </xf>
    <xf numFmtId="1" fontId="8" fillId="8" borderId="0" xfId="0" applyNumberFormat="1" applyFont="1" applyFill="1" applyAlignment="1">
      <alignment horizontal="center" wrapText="1"/>
    </xf>
    <xf numFmtId="1" fontId="8" fillId="7" borderId="11" xfId="0" applyNumberFormat="1" applyFont="1" applyFill="1" applyBorder="1" applyAlignment="1">
      <alignment horizontal="center" wrapText="1"/>
    </xf>
    <xf numFmtId="1" fontId="3" fillId="7" borderId="8" xfId="0" applyNumberFormat="1" applyFont="1" applyFill="1" applyBorder="1" applyAlignment="1">
      <alignment horizontal="center"/>
    </xf>
    <xf numFmtId="1" fontId="3" fillId="10" borderId="3" xfId="0" applyNumberFormat="1" applyFont="1" applyFill="1" applyBorder="1" applyAlignment="1">
      <alignment horizontal="center"/>
    </xf>
    <xf numFmtId="1" fontId="3" fillId="10" borderId="8" xfId="0" applyNumberFormat="1" applyFont="1" applyFill="1" applyBorder="1" applyAlignment="1">
      <alignment horizontal="center"/>
    </xf>
    <xf numFmtId="1" fontId="3" fillId="8" borderId="0" xfId="0" applyNumberFormat="1" applyFont="1" applyFill="1" applyAlignment="1">
      <alignment horizontal="center"/>
    </xf>
    <xf numFmtId="1" fontId="0" fillId="10" borderId="8" xfId="0" applyNumberFormat="1" applyFill="1" applyBorder="1" applyAlignment="1">
      <alignment horizontal="center"/>
    </xf>
    <xf numFmtId="1" fontId="0" fillId="9" borderId="3" xfId="0" applyNumberFormat="1" applyFill="1" applyBorder="1" applyAlignment="1">
      <alignment horizontal="center"/>
    </xf>
    <xf numFmtId="1" fontId="0" fillId="8" borderId="3" xfId="0" applyNumberFormat="1" applyFill="1" applyBorder="1" applyAlignment="1">
      <alignment horizontal="center"/>
    </xf>
    <xf numFmtId="1" fontId="0" fillId="8" borderId="8" xfId="0" applyNumberFormat="1" applyFill="1" applyBorder="1" applyAlignment="1">
      <alignment horizontal="center"/>
    </xf>
    <xf numFmtId="1" fontId="0" fillId="9" borderId="11" xfId="0" applyNumberFormat="1" applyFill="1" applyBorder="1" applyAlignment="1">
      <alignment horizontal="center"/>
    </xf>
    <xf numFmtId="1" fontId="3" fillId="7" borderId="3" xfId="0" applyNumberFormat="1" applyFont="1" applyFill="1" applyBorder="1" applyAlignment="1">
      <alignment horizontal="center"/>
    </xf>
    <xf numFmtId="1" fontId="3" fillId="7" borderId="0" xfId="0" applyNumberFormat="1" applyFont="1" applyFill="1" applyBorder="1" applyAlignment="1">
      <alignment horizontal="center"/>
    </xf>
    <xf numFmtId="1" fontId="3" fillId="10" borderId="11" xfId="0" applyNumberFormat="1" applyFont="1" applyFill="1" applyBorder="1" applyAlignment="1">
      <alignment horizontal="center"/>
    </xf>
    <xf numFmtId="1" fontId="8" fillId="7" borderId="3" xfId="0" applyNumberFormat="1" applyFont="1" applyFill="1" applyBorder="1" applyAlignment="1">
      <alignment horizontal="center" wrapText="1"/>
    </xf>
    <xf numFmtId="1" fontId="8" fillId="7" borderId="8" xfId="0" applyNumberFormat="1" applyFont="1" applyFill="1" applyBorder="1" applyAlignment="1">
      <alignment horizontal="center" wrapText="1"/>
    </xf>
    <xf numFmtId="1" fontId="3" fillId="10" borderId="0" xfId="0" applyNumberFormat="1" applyFont="1" applyFill="1" applyAlignment="1">
      <alignment horizontal="center"/>
    </xf>
    <xf numFmtId="1" fontId="3" fillId="9" borderId="0" xfId="0" applyNumberFormat="1" applyFont="1" applyFill="1" applyAlignment="1">
      <alignment horizontal="center"/>
    </xf>
    <xf numFmtId="1" fontId="8" fillId="8" borderId="0" xfId="0" applyNumberFormat="1" applyFont="1" applyFill="1" applyAlignment="1">
      <alignment horizontal="center"/>
    </xf>
    <xf numFmtId="1" fontId="8" fillId="8" borderId="3" xfId="0" applyNumberFormat="1" applyFont="1" applyFill="1" applyBorder="1" applyAlignment="1">
      <alignment horizontal="center"/>
    </xf>
    <xf numFmtId="1" fontId="8" fillId="8" borderId="8" xfId="0" applyNumberFormat="1" applyFont="1" applyFill="1" applyBorder="1" applyAlignment="1">
      <alignment horizontal="center"/>
    </xf>
    <xf numFmtId="1" fontId="3" fillId="8" borderId="3" xfId="0" applyNumberFormat="1" applyFont="1" applyFill="1" applyBorder="1" applyAlignment="1">
      <alignment horizontal="center" wrapText="1"/>
    </xf>
    <xf numFmtId="1" fontId="3" fillId="8" borderId="0" xfId="0" applyNumberFormat="1" applyFont="1" applyFill="1" applyBorder="1" applyAlignment="1">
      <alignment horizontal="center" wrapText="1"/>
    </xf>
    <xf numFmtId="1" fontId="3" fillId="8" borderId="8" xfId="0" applyNumberFormat="1" applyFont="1" applyFill="1" applyBorder="1" applyAlignment="1">
      <alignment horizontal="center" wrapText="1"/>
    </xf>
    <xf numFmtId="1" fontId="3" fillId="9" borderId="11" xfId="0" applyNumberFormat="1" applyFont="1" applyFill="1" applyBorder="1" applyAlignment="1">
      <alignment horizontal="center" wrapText="1"/>
    </xf>
    <xf numFmtId="1" fontId="3" fillId="9" borderId="0" xfId="0" applyNumberFormat="1" applyFont="1" applyFill="1" applyAlignment="1">
      <alignment horizontal="center" wrapText="1"/>
    </xf>
    <xf numFmtId="1" fontId="3" fillId="8" borderId="11" xfId="0" applyNumberFormat="1" applyFont="1" applyFill="1" applyBorder="1" applyAlignment="1">
      <alignment horizontal="center" wrapText="1"/>
    </xf>
    <xf numFmtId="1" fontId="8" fillId="8" borderId="0" xfId="0" applyNumberFormat="1" applyFont="1" applyFill="1" applyBorder="1" applyAlignment="1">
      <alignment horizontal="center"/>
    </xf>
    <xf numFmtId="1" fontId="3" fillId="10" borderId="3" xfId="0" applyNumberFormat="1" applyFont="1" applyFill="1" applyBorder="1" applyAlignment="1">
      <alignment horizontal="center" wrapText="1"/>
    </xf>
    <xf numFmtId="1" fontId="3" fillId="10" borderId="8" xfId="0" applyNumberFormat="1" applyFont="1" applyFill="1" applyBorder="1" applyAlignment="1">
      <alignment horizontal="center" wrapText="1"/>
    </xf>
    <xf numFmtId="1" fontId="8" fillId="9" borderId="11" xfId="0" applyNumberFormat="1" applyFont="1" applyFill="1" applyBorder="1" applyAlignment="1">
      <alignment horizontal="center"/>
    </xf>
    <xf numFmtId="1" fontId="8" fillId="9" borderId="3" xfId="0" applyNumberFormat="1" applyFont="1" applyFill="1" applyBorder="1" applyAlignment="1">
      <alignment horizontal="center"/>
    </xf>
    <xf numFmtId="1" fontId="8" fillId="9" borderId="0" xfId="0" applyNumberFormat="1" applyFont="1" applyFill="1" applyBorder="1" applyAlignment="1">
      <alignment horizontal="center"/>
    </xf>
    <xf numFmtId="1" fontId="8" fillId="9" borderId="8" xfId="0" applyNumberFormat="1" applyFont="1" applyFill="1" applyBorder="1" applyAlignment="1">
      <alignment horizontal="center"/>
    </xf>
    <xf numFmtId="1" fontId="8" fillId="10" borderId="3" xfId="0" applyNumberFormat="1" applyFont="1" applyFill="1" applyBorder="1" applyAlignment="1">
      <alignment horizontal="center" wrapText="1"/>
    </xf>
    <xf numFmtId="1" fontId="8" fillId="10" borderId="0" xfId="0" applyNumberFormat="1" applyFont="1" applyFill="1" applyAlignment="1">
      <alignment horizontal="center" wrapText="1"/>
    </xf>
    <xf numFmtId="1" fontId="8" fillId="10" borderId="8" xfId="0" applyNumberFormat="1" applyFont="1" applyFill="1" applyBorder="1" applyAlignment="1">
      <alignment horizontal="center" wrapText="1"/>
    </xf>
    <xf numFmtId="1" fontId="8" fillId="10" borderId="11" xfId="0" applyNumberFormat="1" applyFont="1" applyFill="1" applyBorder="1" applyAlignment="1">
      <alignment horizontal="center"/>
    </xf>
    <xf numFmtId="1" fontId="8" fillId="8" borderId="0" xfId="0" applyNumberFormat="1" applyFont="1" applyFill="1" applyBorder="1" applyAlignment="1">
      <alignment horizontal="center" wrapText="1"/>
    </xf>
    <xf numFmtId="1" fontId="0" fillId="8" borderId="11" xfId="0" applyNumberFormat="1" applyFill="1" applyBorder="1" applyAlignment="1">
      <alignment horizontal="center"/>
    </xf>
    <xf numFmtId="1" fontId="8" fillId="7" borderId="3" xfId="0" applyNumberFormat="1" applyFont="1" applyFill="1" applyBorder="1" applyAlignment="1">
      <alignment horizontal="center"/>
    </xf>
    <xf numFmtId="1" fontId="8" fillId="7" borderId="0" xfId="0" applyNumberFormat="1" applyFont="1" applyFill="1" applyBorder="1" applyAlignment="1">
      <alignment horizontal="center"/>
    </xf>
    <xf numFmtId="1" fontId="8" fillId="7" borderId="8" xfId="0" applyNumberFormat="1" applyFont="1" applyFill="1" applyBorder="1" applyAlignment="1">
      <alignment horizontal="center"/>
    </xf>
    <xf numFmtId="1" fontId="8" fillId="10" borderId="0" xfId="0" applyNumberFormat="1" applyFont="1" applyFill="1" applyBorder="1" applyAlignment="1">
      <alignment horizontal="center" wrapText="1"/>
    </xf>
    <xf numFmtId="1" fontId="8" fillId="9" borderId="0" xfId="0" applyNumberFormat="1" applyFont="1" applyFill="1" applyAlignment="1">
      <alignment horizontal="center"/>
    </xf>
    <xf numFmtId="1" fontId="3" fillId="10" borderId="11" xfId="0" applyNumberFormat="1" applyFont="1" applyFill="1" applyBorder="1" applyAlignment="1">
      <alignment horizontal="center" wrapText="1"/>
    </xf>
    <xf numFmtId="1" fontId="3" fillId="9" borderId="3" xfId="0" applyNumberFormat="1" applyFont="1" applyFill="1" applyBorder="1" applyAlignment="1">
      <alignment horizontal="center" wrapText="1"/>
    </xf>
    <xf numFmtId="1" fontId="3" fillId="9" borderId="8" xfId="0" applyNumberFormat="1" applyFont="1" applyFill="1" applyBorder="1" applyAlignment="1">
      <alignment horizontal="center" wrapText="1"/>
    </xf>
    <xf numFmtId="1" fontId="3" fillId="0" borderId="0" xfId="0" applyNumberFormat="1" applyFont="1" applyFill="1" applyAlignment="1">
      <alignment horizontal="center"/>
    </xf>
    <xf numFmtId="1" fontId="3" fillId="6" borderId="0" xfId="0" applyNumberFormat="1" applyFont="1" applyFill="1" applyAlignment="1">
      <alignment horizontal="center"/>
    </xf>
    <xf numFmtId="1" fontId="4" fillId="0" borderId="0" xfId="0" applyNumberFormat="1" applyFont="1" applyBorder="1" applyAlignment="1">
      <alignment horizontal="center" wrapText="1"/>
    </xf>
    <xf numFmtId="1" fontId="8" fillId="7" borderId="0" xfId="0" applyNumberFormat="1" applyFont="1" applyFill="1" applyBorder="1" applyAlignment="1">
      <alignment horizontal="center" wrapText="1"/>
    </xf>
    <xf numFmtId="1" fontId="3" fillId="14" borderId="11" xfId="0" applyNumberFormat="1" applyFont="1" applyFill="1" applyBorder="1" applyAlignment="1">
      <alignment horizontal="center"/>
    </xf>
    <xf numFmtId="1" fontId="3" fillId="14" borderId="3" xfId="0" applyNumberFormat="1" applyFont="1" applyFill="1" applyBorder="1" applyAlignment="1">
      <alignment horizontal="center"/>
    </xf>
    <xf numFmtId="1" fontId="3" fillId="14" borderId="0" xfId="0" applyNumberFormat="1" applyFont="1" applyFill="1" applyBorder="1" applyAlignment="1">
      <alignment horizontal="center"/>
    </xf>
    <xf numFmtId="1" fontId="3" fillId="14" borderId="8" xfId="0" applyNumberFormat="1" applyFont="1" applyFill="1" applyBorder="1" applyAlignment="1">
      <alignment horizontal="center"/>
    </xf>
    <xf numFmtId="1" fontId="3" fillId="14" borderId="0" xfId="0" applyNumberFormat="1" applyFont="1" applyFill="1" applyAlignment="1">
      <alignment horizontal="center"/>
    </xf>
    <xf numFmtId="1" fontId="3" fillId="9" borderId="3" xfId="0" applyNumberFormat="1" applyFont="1" applyFill="1" applyBorder="1" applyAlignment="1">
      <alignment horizontal="left"/>
    </xf>
    <xf numFmtId="1" fontId="3" fillId="9" borderId="1" xfId="0" applyNumberFormat="1" applyFont="1" applyFill="1" applyBorder="1" applyAlignment="1">
      <alignment horizontal="center"/>
    </xf>
    <xf numFmtId="1" fontId="3" fillId="7" borderId="0" xfId="0" applyNumberFormat="1" applyFont="1" applyFill="1" applyAlignment="1">
      <alignment horizontal="center"/>
    </xf>
    <xf numFmtId="1" fontId="3" fillId="9" borderId="0" xfId="0" applyNumberFormat="1" applyFont="1" applyFill="1" applyBorder="1" applyAlignment="1">
      <alignment horizontal="center" wrapText="1"/>
    </xf>
    <xf numFmtId="1" fontId="3" fillId="8" borderId="1" xfId="0" applyNumberFormat="1" applyFont="1" applyFill="1" applyBorder="1" applyAlignment="1">
      <alignment horizontal="center"/>
    </xf>
    <xf numFmtId="1" fontId="3" fillId="7" borderId="3" xfId="0" applyNumberFormat="1" applyFont="1" applyFill="1" applyBorder="1" applyAlignment="1">
      <alignment horizontal="center" wrapText="1"/>
    </xf>
    <xf numFmtId="1" fontId="3" fillId="7" borderId="0" xfId="0" applyNumberFormat="1" applyFont="1" applyFill="1" applyBorder="1" applyAlignment="1">
      <alignment horizontal="center" wrapText="1"/>
    </xf>
    <xf numFmtId="1" fontId="3" fillId="7" borderId="8" xfId="0" applyNumberFormat="1" applyFont="1" applyFill="1" applyBorder="1" applyAlignment="1">
      <alignment horizontal="center" wrapText="1"/>
    </xf>
    <xf numFmtId="1" fontId="3" fillId="7" borderId="0" xfId="0" applyNumberFormat="1" applyFont="1" applyFill="1" applyAlignment="1">
      <alignment horizontal="center" wrapText="1"/>
    </xf>
    <xf numFmtId="1" fontId="3" fillId="9" borderId="11" xfId="0" applyNumberFormat="1" applyFont="1" applyFill="1" applyBorder="1" applyAlignment="1">
      <alignment wrapText="1"/>
    </xf>
    <xf numFmtId="1" fontId="3" fillId="0" borderId="0" xfId="0" applyNumberFormat="1" applyFont="1" applyAlignment="1">
      <alignment horizontal="center"/>
    </xf>
    <xf numFmtId="1" fontId="3" fillId="16" borderId="11" xfId="0" applyNumberFormat="1" applyFont="1" applyFill="1" applyBorder="1" applyAlignment="1">
      <alignment horizontal="center"/>
    </xf>
    <xf numFmtId="1" fontId="3" fillId="16" borderId="8" xfId="0" applyNumberFormat="1" applyFont="1" applyFill="1" applyBorder="1" applyAlignment="1">
      <alignment horizontal="center"/>
    </xf>
    <xf numFmtId="49" fontId="8" fillId="9" borderId="11" xfId="0" applyNumberFormat="1" applyFont="1" applyFill="1" applyBorder="1" applyAlignment="1">
      <alignment horizontal="center" wrapText="1"/>
    </xf>
    <xf numFmtId="0" fontId="3" fillId="0" borderId="5" xfId="0" applyFont="1" applyBorder="1" applyAlignment="1">
      <alignment horizontal="left"/>
    </xf>
    <xf numFmtId="0" fontId="3" fillId="10" borderId="11" xfId="0" quotePrefix="1" applyFont="1" applyFill="1" applyBorder="1" applyAlignment="1">
      <alignment horizontal="center"/>
    </xf>
    <xf numFmtId="0" fontId="8" fillId="7" borderId="11" xfId="0" applyFont="1" applyFill="1" applyBorder="1" applyAlignment="1"/>
    <xf numFmtId="0" fontId="8" fillId="10" borderId="11" xfId="0" applyFont="1" applyFill="1" applyBorder="1" applyAlignment="1"/>
    <xf numFmtId="0" fontId="3" fillId="17" borderId="8" xfId="0" applyFont="1" applyFill="1" applyBorder="1" applyAlignment="1"/>
    <xf numFmtId="0" fontId="3" fillId="17" borderId="8" xfId="0" applyFont="1" applyFill="1" applyBorder="1" applyAlignment="1">
      <alignment horizontal="center"/>
    </xf>
    <xf numFmtId="49" fontId="3" fillId="17" borderId="8" xfId="0" applyNumberFormat="1" applyFont="1" applyFill="1" applyBorder="1" applyAlignment="1">
      <alignment horizontal="center"/>
    </xf>
    <xf numFmtId="0" fontId="3" fillId="17" borderId="9" xfId="0" applyFont="1" applyFill="1" applyBorder="1" applyAlignment="1">
      <alignment wrapText="1"/>
    </xf>
    <xf numFmtId="0" fontId="3" fillId="17" borderId="10" xfId="0" applyFont="1" applyFill="1" applyBorder="1" applyAlignment="1">
      <alignment horizontal="center"/>
    </xf>
    <xf numFmtId="1" fontId="3" fillId="17" borderId="11" xfId="0" applyNumberFormat="1" applyFont="1" applyFill="1" applyBorder="1" applyAlignment="1">
      <alignment horizontal="center"/>
    </xf>
    <xf numFmtId="0" fontId="3" fillId="17" borderId="11" xfId="0" applyFont="1" applyFill="1" applyBorder="1" applyAlignment="1">
      <alignment horizontal="center"/>
    </xf>
    <xf numFmtId="0" fontId="8" fillId="17" borderId="11" xfId="0" applyFont="1" applyFill="1" applyBorder="1" applyAlignment="1">
      <alignment horizontal="left" wrapText="1"/>
    </xf>
    <xf numFmtId="0" fontId="3" fillId="17" borderId="12" xfId="0" applyFont="1" applyFill="1" applyBorder="1" applyAlignment="1">
      <alignment horizontal="center"/>
    </xf>
    <xf numFmtId="49" fontId="3" fillId="9" borderId="0" xfId="0" applyNumberFormat="1" applyFont="1" applyFill="1" applyAlignment="1">
      <alignment horizontal="center"/>
    </xf>
    <xf numFmtId="0" fontId="3" fillId="0" borderId="2" xfId="0" applyFont="1" applyBorder="1" applyAlignment="1">
      <alignment horizontal="left"/>
    </xf>
    <xf numFmtId="164" fontId="3" fillId="9" borderId="3" xfId="0" applyNumberFormat="1" applyFont="1" applyFill="1" applyBorder="1" applyAlignment="1">
      <alignment horizontal="center" wrapText="1"/>
    </xf>
    <xf numFmtId="49" fontId="3" fillId="9" borderId="4" xfId="0" applyNumberFormat="1" applyFont="1" applyFill="1" applyBorder="1" applyAlignment="1">
      <alignment horizontal="center"/>
    </xf>
    <xf numFmtId="49" fontId="3" fillId="9" borderId="6" xfId="0" applyNumberFormat="1" applyFont="1" applyFill="1" applyBorder="1" applyAlignment="1">
      <alignment horizontal="center"/>
    </xf>
    <xf numFmtId="164" fontId="3" fillId="9" borderId="0" xfId="0" applyNumberFormat="1" applyFont="1" applyFill="1" applyBorder="1" applyAlignment="1">
      <alignment horizontal="center" wrapText="1"/>
    </xf>
    <xf numFmtId="2" fontId="3" fillId="9" borderId="0" xfId="0" applyNumberFormat="1" applyFont="1" applyFill="1" applyBorder="1" applyAlignment="1">
      <alignment horizontal="center"/>
    </xf>
    <xf numFmtId="49" fontId="3" fillId="9" borderId="9" xfId="0" applyNumberFormat="1" applyFont="1" applyFill="1" applyBorder="1" applyAlignment="1">
      <alignment horizontal="center"/>
    </xf>
    <xf numFmtId="164" fontId="3" fillId="9" borderId="8" xfId="0" applyNumberFormat="1" applyFont="1" applyFill="1" applyBorder="1" applyAlignment="1">
      <alignment horizontal="center" wrapText="1"/>
    </xf>
    <xf numFmtId="49" fontId="3" fillId="10" borderId="6" xfId="0" applyNumberFormat="1" applyFont="1" applyFill="1" applyBorder="1" applyAlignment="1">
      <alignment horizontal="center"/>
    </xf>
    <xf numFmtId="2" fontId="3" fillId="10" borderId="0" xfId="0" applyNumberFormat="1" applyFont="1" applyFill="1" applyBorder="1" applyAlignment="1">
      <alignment horizontal="center" wrapText="1"/>
    </xf>
    <xf numFmtId="164" fontId="3" fillId="10" borderId="8" xfId="0" applyNumberFormat="1" applyFont="1" applyFill="1" applyBorder="1" applyAlignment="1">
      <alignment horizontal="center" wrapText="1"/>
    </xf>
    <xf numFmtId="0" fontId="8" fillId="10" borderId="8" xfId="0" applyFont="1" applyFill="1" applyBorder="1" applyAlignment="1">
      <alignment horizontal="center" wrapText="1"/>
    </xf>
    <xf numFmtId="164" fontId="3" fillId="7" borderId="3" xfId="0" applyNumberFormat="1" applyFont="1" applyFill="1" applyBorder="1" applyAlignment="1">
      <alignment horizontal="center" wrapText="1"/>
    </xf>
    <xf numFmtId="49" fontId="3" fillId="7" borderId="4" xfId="0" applyNumberFormat="1" applyFont="1" applyFill="1" applyBorder="1" applyAlignment="1">
      <alignment horizontal="center"/>
    </xf>
    <xf numFmtId="164" fontId="3" fillId="7" borderId="0" xfId="0" applyNumberFormat="1" applyFont="1" applyFill="1" applyBorder="1" applyAlignment="1">
      <alignment horizontal="center" wrapText="1"/>
    </xf>
    <xf numFmtId="49" fontId="3" fillId="7" borderId="6" xfId="0" applyNumberFormat="1" applyFont="1" applyFill="1" applyBorder="1" applyAlignment="1">
      <alignment horizontal="center"/>
    </xf>
    <xf numFmtId="2" fontId="3" fillId="7" borderId="0" xfId="0" applyNumberFormat="1" applyFont="1" applyFill="1" applyBorder="1" applyAlignment="1">
      <alignment horizontal="center" wrapText="1"/>
    </xf>
    <xf numFmtId="49" fontId="3" fillId="7" borderId="9" xfId="0" applyNumberFormat="1" applyFont="1" applyFill="1" applyBorder="1" applyAlignment="1">
      <alignment horizontal="center"/>
    </xf>
    <xf numFmtId="164" fontId="3" fillId="9" borderId="0" xfId="0" applyNumberFormat="1" applyFont="1" applyFill="1" applyAlignment="1">
      <alignment horizontal="center"/>
    </xf>
    <xf numFmtId="0" fontId="3" fillId="10" borderId="9" xfId="0" applyFont="1" applyFill="1" applyBorder="1" applyAlignment="1"/>
    <xf numFmtId="0" fontId="3" fillId="10" borderId="6" xfId="0" applyFont="1" applyFill="1" applyBorder="1" applyAlignment="1"/>
    <xf numFmtId="0" fontId="0" fillId="7" borderId="11" xfId="0" applyFill="1" applyBorder="1" applyAlignment="1"/>
    <xf numFmtId="0" fontId="0" fillId="8" borderId="11" xfId="0" applyFill="1" applyBorder="1" applyAlignment="1"/>
    <xf numFmtId="0" fontId="3" fillId="10" borderId="4" xfId="0" applyFont="1" applyFill="1" applyBorder="1" applyAlignment="1"/>
    <xf numFmtId="0" fontId="3" fillId="0" borderId="5" xfId="0" applyFont="1" applyBorder="1" applyAlignment="1"/>
    <xf numFmtId="0" fontId="3" fillId="0" borderId="7" xfId="0" applyFont="1" applyBorder="1" applyAlignment="1"/>
    <xf numFmtId="0" fontId="3" fillId="7" borderId="12" xfId="0" applyFont="1" applyFill="1" applyBorder="1" applyAlignment="1"/>
    <xf numFmtId="0" fontId="3" fillId="17" borderId="11" xfId="0" applyFont="1" applyFill="1" applyBorder="1" applyAlignment="1">
      <alignment horizontal="left" wrapText="1"/>
    </xf>
    <xf numFmtId="0" fontId="2" fillId="5" borderId="0" xfId="0" applyFont="1" applyFill="1" applyAlignment="1">
      <alignment wrapText="1"/>
    </xf>
    <xf numFmtId="0" fontId="2" fillId="8" borderId="7" xfId="0" applyFont="1" applyFill="1" applyBorder="1" applyAlignment="1">
      <alignment wrapText="1"/>
    </xf>
    <xf numFmtId="0" fontId="3" fillId="7" borderId="10" xfId="0" applyFont="1" applyFill="1" applyBorder="1" applyAlignment="1">
      <alignment wrapText="1"/>
    </xf>
    <xf numFmtId="0" fontId="8" fillId="8" borderId="2" xfId="0" applyFont="1" applyFill="1" applyBorder="1" applyAlignment="1">
      <alignment wrapText="1"/>
    </xf>
    <xf numFmtId="0" fontId="8" fillId="8" borderId="5" xfId="0" applyFont="1" applyFill="1" applyBorder="1" applyAlignment="1">
      <alignment wrapText="1"/>
    </xf>
    <xf numFmtId="0" fontId="8" fillId="8" borderId="10" xfId="0" applyFont="1" applyFill="1" applyBorder="1" applyAlignment="1">
      <alignment wrapText="1"/>
    </xf>
    <xf numFmtId="0" fontId="8" fillId="7" borderId="10" xfId="0" applyFont="1" applyFill="1" applyBorder="1" applyAlignment="1">
      <alignment wrapText="1"/>
    </xf>
    <xf numFmtId="0" fontId="8" fillId="9" borderId="10" xfId="0" applyFont="1" applyFill="1" applyBorder="1" applyAlignment="1">
      <alignment wrapText="1"/>
    </xf>
    <xf numFmtId="0" fontId="8" fillId="9" borderId="5" xfId="0" applyFont="1" applyFill="1" applyBorder="1" applyAlignment="1">
      <alignment wrapText="1"/>
    </xf>
    <xf numFmtId="0" fontId="8" fillId="10" borderId="10" xfId="0" applyFont="1" applyFill="1" applyBorder="1" applyAlignment="1">
      <alignment wrapText="1"/>
    </xf>
    <xf numFmtId="0" fontId="0" fillId="8" borderId="8" xfId="0" applyFill="1" applyBorder="1" applyAlignment="1">
      <alignment wrapText="1"/>
    </xf>
    <xf numFmtId="0" fontId="8" fillId="7" borderId="2" xfId="0" applyFont="1" applyFill="1" applyBorder="1" applyAlignment="1">
      <alignment wrapText="1"/>
    </xf>
    <xf numFmtId="0" fontId="8" fillId="7" borderId="5" xfId="0" applyFont="1" applyFill="1" applyBorder="1" applyAlignment="1">
      <alignment wrapText="1"/>
    </xf>
    <xf numFmtId="0" fontId="8" fillId="8" borderId="7" xfId="0" applyFont="1" applyFill="1" applyBorder="1" applyAlignment="1">
      <alignment wrapText="1"/>
    </xf>
    <xf numFmtId="0" fontId="8" fillId="7" borderId="7" xfId="0" applyFont="1" applyFill="1" applyBorder="1" applyAlignment="1">
      <alignment wrapText="1"/>
    </xf>
    <xf numFmtId="0" fontId="8" fillId="7" borderId="8" xfId="0" applyFont="1" applyFill="1" applyBorder="1" applyAlignment="1">
      <alignment wrapText="1"/>
    </xf>
    <xf numFmtId="0" fontId="0" fillId="8" borderId="8" xfId="0" applyFill="1" applyBorder="1" applyAlignment="1">
      <alignment horizontal="center"/>
    </xf>
    <xf numFmtId="0" fontId="0" fillId="9" borderId="8" xfId="0" applyFill="1" applyBorder="1" applyAlignment="1">
      <alignment horizontal="center"/>
    </xf>
    <xf numFmtId="0" fontId="8" fillId="8" borderId="6" xfId="0" applyFont="1" applyFill="1" applyBorder="1" applyAlignment="1">
      <alignment wrapText="1"/>
    </xf>
    <xf numFmtId="0" fontId="8" fillId="7" borderId="6" xfId="0" applyFont="1" applyFill="1" applyBorder="1" applyAlignment="1">
      <alignment wrapText="1"/>
    </xf>
    <xf numFmtId="0" fontId="8" fillId="7" borderId="9" xfId="0" applyFont="1" applyFill="1" applyBorder="1" applyAlignment="1">
      <alignment wrapText="1"/>
    </xf>
    <xf numFmtId="0" fontId="8" fillId="9" borderId="9" xfId="0" applyFont="1" applyFill="1" applyBorder="1" applyAlignment="1">
      <alignment wrapText="1"/>
    </xf>
    <xf numFmtId="0" fontId="2" fillId="6" borderId="0" xfId="0" applyFont="1" applyFill="1" applyAlignment="1">
      <alignment horizontal="left" wrapText="1"/>
    </xf>
    <xf numFmtId="0" fontId="2" fillId="0" borderId="0" xfId="0" applyFont="1" applyAlignment="1">
      <alignment horizontal="left" wrapText="1"/>
    </xf>
    <xf numFmtId="49" fontId="3" fillId="8" borderId="3" xfId="0" applyNumberFormat="1" applyFont="1" applyFill="1" applyBorder="1" applyAlignment="1">
      <alignment horizontal="left" wrapText="1"/>
    </xf>
    <xf numFmtId="49" fontId="3" fillId="8" borderId="0" xfId="0" applyNumberFormat="1" applyFont="1" applyFill="1" applyBorder="1" applyAlignment="1">
      <alignment horizontal="left" wrapText="1"/>
    </xf>
    <xf numFmtId="49" fontId="3" fillId="8" borderId="8" xfId="0" applyNumberFormat="1" applyFont="1" applyFill="1" applyBorder="1" applyAlignment="1">
      <alignment horizontal="left" wrapText="1"/>
    </xf>
    <xf numFmtId="49" fontId="3" fillId="9" borderId="3" xfId="0" applyNumberFormat="1" applyFont="1" applyFill="1" applyBorder="1" applyAlignment="1">
      <alignment horizontal="left" wrapText="1"/>
    </xf>
    <xf numFmtId="49" fontId="3" fillId="9" borderId="0" xfId="0" applyNumberFormat="1" applyFont="1" applyFill="1" applyBorder="1" applyAlignment="1">
      <alignment horizontal="left" wrapText="1"/>
    </xf>
    <xf numFmtId="49" fontId="3" fillId="9" borderId="8" xfId="0" applyNumberFormat="1" applyFont="1" applyFill="1" applyBorder="1" applyAlignment="1">
      <alignment horizontal="left" wrapText="1"/>
    </xf>
    <xf numFmtId="0" fontId="2" fillId="6" borderId="0" xfId="0" applyFont="1" applyFill="1" applyAlignment="1">
      <alignment horizontal="center" wrapText="1"/>
    </xf>
    <xf numFmtId="0" fontId="0" fillId="10" borderId="8" xfId="0" applyFill="1" applyBorder="1" applyAlignment="1">
      <alignment wrapText="1"/>
    </xf>
    <xf numFmtId="0" fontId="0" fillId="9" borderId="3" xfId="0" applyFill="1" applyBorder="1" applyAlignment="1">
      <alignment wrapText="1"/>
    </xf>
    <xf numFmtId="0" fontId="0" fillId="8" borderId="3" xfId="0" applyFill="1" applyBorder="1" applyAlignment="1">
      <alignment wrapText="1"/>
    </xf>
    <xf numFmtId="0" fontId="0" fillId="9" borderId="11" xfId="0" applyFill="1" applyBorder="1" applyAlignment="1">
      <alignment wrapText="1"/>
    </xf>
    <xf numFmtId="0" fontId="0" fillId="8" borderId="11" xfId="0" applyFill="1" applyBorder="1" applyAlignment="1">
      <alignment wrapText="1"/>
    </xf>
    <xf numFmtId="2" fontId="3" fillId="8" borderId="3" xfId="0" applyNumberFormat="1" applyFont="1" applyFill="1" applyBorder="1" applyAlignment="1">
      <alignment horizontal="center" wrapText="1"/>
    </xf>
    <xf numFmtId="2" fontId="3" fillId="8" borderId="0" xfId="0" applyNumberFormat="1" applyFont="1" applyFill="1" applyBorder="1" applyAlignment="1">
      <alignment horizontal="center" wrapText="1"/>
    </xf>
    <xf numFmtId="2" fontId="3" fillId="8" borderId="8" xfId="0" applyNumberFormat="1" applyFont="1" applyFill="1" applyBorder="1" applyAlignment="1">
      <alignment horizontal="center" wrapText="1"/>
    </xf>
    <xf numFmtId="49" fontId="3" fillId="9" borderId="11" xfId="0" applyNumberFormat="1" applyFont="1" applyFill="1" applyBorder="1" applyAlignment="1">
      <alignment horizontal="center" wrapText="1"/>
    </xf>
    <xf numFmtId="0" fontId="3" fillId="10" borderId="3" xfId="0" applyNumberFormat="1" applyFont="1" applyFill="1" applyBorder="1" applyAlignment="1">
      <alignment horizontal="center" wrapText="1"/>
    </xf>
    <xf numFmtId="0" fontId="3" fillId="10" borderId="8" xfId="0" applyNumberFormat="1" applyFont="1" applyFill="1" applyBorder="1" applyAlignment="1">
      <alignment horizontal="center" wrapText="1"/>
    </xf>
    <xf numFmtId="16" fontId="8" fillId="8" borderId="3" xfId="0" applyNumberFormat="1" applyFont="1" applyFill="1" applyBorder="1" applyAlignment="1">
      <alignment horizontal="center" wrapText="1"/>
    </xf>
    <xf numFmtId="16" fontId="8" fillId="8" borderId="8" xfId="0" applyNumberFormat="1" applyFont="1" applyFill="1" applyBorder="1" applyAlignment="1">
      <alignment horizontal="center" wrapText="1"/>
    </xf>
    <xf numFmtId="0" fontId="5" fillId="10" borderId="8" xfId="0" applyFont="1" applyFill="1" applyBorder="1" applyAlignment="1">
      <alignment horizontal="center" wrapText="1"/>
    </xf>
    <xf numFmtId="0" fontId="0" fillId="8" borderId="11" xfId="0" applyFill="1" applyBorder="1" applyAlignment="1">
      <alignment horizontal="left" wrapText="1"/>
    </xf>
    <xf numFmtId="2" fontId="3" fillId="7" borderId="11" xfId="0" applyNumberFormat="1" applyFont="1" applyFill="1" applyBorder="1" applyAlignment="1">
      <alignment horizontal="center" wrapText="1"/>
    </xf>
    <xf numFmtId="0" fontId="5" fillId="9" borderId="4" xfId="0" applyFont="1" applyFill="1" applyBorder="1" applyAlignment="1">
      <alignment horizontal="center" wrapText="1"/>
    </xf>
    <xf numFmtId="0" fontId="5" fillId="8" borderId="9" xfId="0" applyFont="1" applyFill="1" applyBorder="1" applyAlignment="1">
      <alignment horizontal="center" wrapText="1"/>
    </xf>
    <xf numFmtId="0" fontId="5" fillId="9" borderId="12" xfId="0" applyFont="1" applyFill="1" applyBorder="1" applyAlignment="1">
      <alignment horizontal="center" wrapText="1"/>
    </xf>
    <xf numFmtId="2" fontId="3" fillId="10" borderId="3" xfId="0" applyNumberFormat="1" applyFont="1" applyFill="1" applyBorder="1" applyAlignment="1">
      <alignment horizontal="center" wrapText="1"/>
    </xf>
    <xf numFmtId="0" fontId="5" fillId="10" borderId="4" xfId="0" applyFont="1" applyFill="1" applyBorder="1" applyAlignment="1">
      <alignment horizontal="center" wrapText="1"/>
    </xf>
    <xf numFmtId="0" fontId="5" fillId="10" borderId="9" xfId="0" applyFont="1" applyFill="1" applyBorder="1" applyAlignment="1">
      <alignment horizontal="center" wrapText="1"/>
    </xf>
    <xf numFmtId="0" fontId="5" fillId="7" borderId="12" xfId="0" applyFont="1" applyFill="1" applyBorder="1" applyAlignment="1">
      <alignment horizontal="center" wrapText="1"/>
    </xf>
    <xf numFmtId="2" fontId="3" fillId="8" borderId="11" xfId="0" applyNumberFormat="1" applyFont="1" applyFill="1" applyBorder="1" applyAlignment="1">
      <alignment horizontal="center" wrapText="1"/>
    </xf>
    <xf numFmtId="0" fontId="5" fillId="8" borderId="4" xfId="0" applyFont="1" applyFill="1" applyBorder="1" applyAlignment="1">
      <alignment horizontal="center" wrapText="1"/>
    </xf>
    <xf numFmtId="0" fontId="5" fillId="8" borderId="6" xfId="0" applyFont="1" applyFill="1" applyBorder="1" applyAlignment="1">
      <alignment horizontal="center" wrapText="1"/>
    </xf>
    <xf numFmtId="2" fontId="3" fillId="10" borderId="8" xfId="0" applyNumberFormat="1" applyFont="1" applyFill="1" applyBorder="1" applyAlignment="1">
      <alignment horizontal="center" wrapText="1"/>
    </xf>
    <xf numFmtId="2" fontId="3" fillId="9" borderId="11" xfId="0" applyNumberFormat="1" applyFont="1" applyFill="1" applyBorder="1" applyAlignment="1">
      <alignment horizontal="center" wrapText="1"/>
    </xf>
    <xf numFmtId="0" fontId="3" fillId="7" borderId="12" xfId="0" applyFont="1" applyFill="1" applyBorder="1" applyAlignment="1">
      <alignment horizontal="center" wrapText="1"/>
    </xf>
    <xf numFmtId="164" fontId="3" fillId="10" borderId="0" xfId="0" applyNumberFormat="1" applyFont="1" applyFill="1" applyAlignment="1">
      <alignment horizontal="center" wrapText="1"/>
    </xf>
    <xf numFmtId="49" fontId="3" fillId="9" borderId="12" xfId="0" applyNumberFormat="1" applyFont="1" applyFill="1" applyBorder="1" applyAlignment="1">
      <alignment horizontal="center" wrapText="1"/>
    </xf>
    <xf numFmtId="0" fontId="5" fillId="8" borderId="12" xfId="0" applyFont="1" applyFill="1" applyBorder="1" applyAlignment="1">
      <alignment horizontal="center" wrapText="1"/>
    </xf>
    <xf numFmtId="49" fontId="3" fillId="10" borderId="4" xfId="0" applyNumberFormat="1" applyFont="1" applyFill="1" applyBorder="1" applyAlignment="1">
      <alignment horizontal="center" wrapText="1"/>
    </xf>
    <xf numFmtId="49" fontId="3" fillId="10" borderId="9" xfId="0" applyNumberFormat="1" applyFont="1" applyFill="1" applyBorder="1" applyAlignment="1">
      <alignment horizontal="center" wrapText="1"/>
    </xf>
    <xf numFmtId="164" fontId="3" fillId="8" borderId="3" xfId="0" applyNumberFormat="1" applyFont="1" applyFill="1" applyBorder="1" applyAlignment="1">
      <alignment horizontal="center" wrapText="1"/>
    </xf>
    <xf numFmtId="164" fontId="3" fillId="8" borderId="0" xfId="0" applyNumberFormat="1" applyFont="1" applyFill="1" applyBorder="1" applyAlignment="1">
      <alignment horizontal="center" wrapText="1"/>
    </xf>
    <xf numFmtId="164" fontId="3" fillId="8" borderId="8" xfId="0" applyNumberFormat="1" applyFont="1" applyFill="1" applyBorder="1" applyAlignment="1">
      <alignment horizontal="center" wrapText="1"/>
    </xf>
    <xf numFmtId="2" fontId="8" fillId="9" borderId="11" xfId="0" applyNumberFormat="1" applyFont="1" applyFill="1" applyBorder="1" applyAlignment="1">
      <alignment horizontal="center" wrapText="1"/>
    </xf>
    <xf numFmtId="164" fontId="3" fillId="10" borderId="3" xfId="0" applyNumberFormat="1" applyFont="1" applyFill="1" applyBorder="1" applyAlignment="1">
      <alignment horizontal="center" wrapText="1"/>
    </xf>
    <xf numFmtId="164" fontId="8" fillId="9" borderId="8" xfId="0" applyNumberFormat="1" applyFont="1" applyFill="1" applyBorder="1" applyAlignment="1">
      <alignment horizontal="center" wrapText="1"/>
    </xf>
    <xf numFmtId="0" fontId="2" fillId="6" borderId="0" xfId="0" applyFont="1" applyFill="1" applyAlignment="1">
      <alignment wrapText="1"/>
    </xf>
    <xf numFmtId="164" fontId="3" fillId="0" borderId="0" xfId="0" applyNumberFormat="1" applyFont="1" applyAlignment="1">
      <alignment wrapText="1"/>
    </xf>
    <xf numFmtId="0" fontId="3" fillId="0" borderId="6" xfId="0" applyFont="1" applyBorder="1" applyAlignment="1">
      <alignment wrapText="1"/>
    </xf>
    <xf numFmtId="0" fontId="3" fillId="0" borderId="12" xfId="0" applyFont="1" applyBorder="1" applyAlignment="1">
      <alignment wrapText="1"/>
    </xf>
    <xf numFmtId="0" fontId="3" fillId="0" borderId="12" xfId="0" applyFont="1" applyFill="1" applyBorder="1" applyAlignment="1">
      <alignment wrapText="1"/>
    </xf>
    <xf numFmtId="0" fontId="3" fillId="0" borderId="6" xfId="0" applyFont="1" applyFill="1" applyBorder="1" applyAlignment="1">
      <alignment wrapText="1"/>
    </xf>
    <xf numFmtId="0" fontId="3" fillId="0" borderId="9" xfId="0" applyFont="1" applyFill="1" applyBorder="1" applyAlignment="1">
      <alignment wrapText="1"/>
    </xf>
    <xf numFmtId="0" fontId="3" fillId="0" borderId="4" xfId="0" applyFont="1" applyFill="1" applyBorder="1" applyAlignment="1">
      <alignment wrapText="1"/>
    </xf>
    <xf numFmtId="0" fontId="3" fillId="14" borderId="11" xfId="0" applyFont="1" applyFill="1" applyBorder="1" applyAlignment="1">
      <alignment wrapText="1"/>
    </xf>
    <xf numFmtId="0" fontId="8" fillId="10" borderId="2" xfId="0" applyFont="1" applyFill="1" applyBorder="1" applyAlignment="1">
      <alignment wrapText="1"/>
    </xf>
    <xf numFmtId="0" fontId="3" fillId="14" borderId="5" xfId="0" applyFont="1" applyFill="1" applyBorder="1" applyAlignment="1">
      <alignment wrapText="1"/>
    </xf>
    <xf numFmtId="0" fontId="3" fillId="14" borderId="0" xfId="0" applyFont="1" applyFill="1" applyBorder="1" applyAlignment="1">
      <alignment wrapText="1"/>
    </xf>
    <xf numFmtId="0" fontId="3" fillId="14" borderId="7" xfId="0" applyFont="1" applyFill="1" applyBorder="1" applyAlignment="1">
      <alignment wrapText="1"/>
    </xf>
    <xf numFmtId="0" fontId="3" fillId="14" borderId="8" xfId="0" applyFont="1" applyFill="1" applyBorder="1" applyAlignment="1">
      <alignment wrapText="1"/>
    </xf>
    <xf numFmtId="0" fontId="3" fillId="14" borderId="0" xfId="0" applyFont="1" applyFill="1" applyAlignment="1">
      <alignment wrapText="1"/>
    </xf>
    <xf numFmtId="0" fontId="5" fillId="7" borderId="3" xfId="0" applyFont="1" applyFill="1" applyBorder="1" applyAlignment="1">
      <alignment horizontal="center" wrapText="1"/>
    </xf>
    <xf numFmtId="49" fontId="3" fillId="14" borderId="3" xfId="0" applyNumberFormat="1" applyFont="1" applyFill="1" applyBorder="1" applyAlignment="1">
      <alignment horizontal="center" wrapText="1"/>
    </xf>
    <xf numFmtId="0" fontId="8" fillId="9" borderId="6" xfId="0" applyFont="1" applyFill="1" applyBorder="1" applyAlignment="1">
      <alignment wrapText="1"/>
    </xf>
    <xf numFmtId="0" fontId="3" fillId="14" borderId="12" xfId="0" applyFont="1" applyFill="1" applyBorder="1" applyAlignment="1">
      <alignment wrapText="1"/>
    </xf>
    <xf numFmtId="0" fontId="3" fillId="14" borderId="4" xfId="0" applyFont="1" applyFill="1" applyBorder="1" applyAlignment="1">
      <alignment wrapText="1"/>
    </xf>
    <xf numFmtId="0" fontId="3" fillId="14" borderId="6" xfId="0" applyFont="1" applyFill="1" applyBorder="1" applyAlignment="1">
      <alignment wrapText="1"/>
    </xf>
    <xf numFmtId="0" fontId="3" fillId="14" borderId="9" xfId="0" applyFont="1" applyFill="1" applyBorder="1" applyAlignment="1">
      <alignment wrapText="1"/>
    </xf>
    <xf numFmtId="14" fontId="3" fillId="0" borderId="3" xfId="0" applyNumberFormat="1" applyFont="1" applyBorder="1" applyAlignment="1">
      <alignment wrapText="1"/>
    </xf>
    <xf numFmtId="14" fontId="3" fillId="0" borderId="0" xfId="0" applyNumberFormat="1" applyFont="1" applyBorder="1" applyAlignment="1">
      <alignment wrapText="1"/>
    </xf>
    <xf numFmtId="14" fontId="3" fillId="0" borderId="8" xfId="0" applyNumberFormat="1" applyFont="1" applyBorder="1" applyAlignment="1">
      <alignment wrapText="1"/>
    </xf>
    <xf numFmtId="14" fontId="3" fillId="0" borderId="0" xfId="0" applyNumberFormat="1" applyFont="1" applyAlignment="1">
      <alignment wrapText="1"/>
    </xf>
    <xf numFmtId="14" fontId="3" fillId="0" borderId="6" xfId="0" applyNumberFormat="1" applyFont="1" applyBorder="1" applyAlignment="1">
      <alignment wrapText="1"/>
    </xf>
    <xf numFmtId="14" fontId="3" fillId="0" borderId="9" xfId="0" applyNumberFormat="1" applyFont="1" applyBorder="1" applyAlignment="1">
      <alignment wrapText="1"/>
    </xf>
    <xf numFmtId="14" fontId="3" fillId="0" borderId="12" xfId="0" applyNumberFormat="1" applyFont="1" applyBorder="1" applyAlignment="1">
      <alignment wrapText="1"/>
    </xf>
    <xf numFmtId="0" fontId="3" fillId="0" borderId="15" xfId="0" applyFont="1" applyBorder="1" applyAlignment="1">
      <alignment wrapText="1"/>
    </xf>
    <xf numFmtId="14" fontId="3" fillId="0" borderId="4" xfId="0" applyNumberFormat="1" applyFont="1" applyBorder="1" applyAlignment="1">
      <alignment wrapText="1"/>
    </xf>
    <xf numFmtId="0" fontId="8" fillId="10" borderId="5" xfId="0" applyFont="1" applyFill="1" applyBorder="1" applyAlignment="1">
      <alignment wrapText="1"/>
    </xf>
    <xf numFmtId="0" fontId="8" fillId="10" borderId="0" xfId="0" applyFont="1" applyFill="1" applyBorder="1" applyAlignment="1">
      <alignment wrapText="1"/>
    </xf>
    <xf numFmtId="0" fontId="8" fillId="10" borderId="7" xfId="0" applyFont="1" applyFill="1" applyBorder="1" applyAlignment="1">
      <alignment wrapText="1"/>
    </xf>
    <xf numFmtId="0" fontId="8" fillId="10" borderId="8" xfId="0" applyFont="1" applyFill="1" applyBorder="1" applyAlignment="1">
      <alignment wrapText="1"/>
    </xf>
    <xf numFmtId="0" fontId="0" fillId="7" borderId="5" xfId="0" applyFill="1" applyBorder="1" applyAlignment="1">
      <alignment wrapText="1"/>
    </xf>
    <xf numFmtId="0" fontId="0" fillId="7" borderId="0" xfId="0" applyFill="1" applyBorder="1" applyAlignment="1">
      <alignment wrapText="1"/>
    </xf>
    <xf numFmtId="0" fontId="0" fillId="7" borderId="7" xfId="0" applyFill="1" applyBorder="1" applyAlignment="1">
      <alignment wrapText="1"/>
    </xf>
    <xf numFmtId="0" fontId="0" fillId="7" borderId="8" xfId="0" applyFill="1" applyBorder="1" applyAlignment="1">
      <alignment wrapText="1"/>
    </xf>
    <xf numFmtId="0" fontId="3" fillId="17" borderId="7" xfId="0" applyFont="1" applyFill="1" applyBorder="1" applyAlignment="1">
      <alignment wrapText="1"/>
    </xf>
    <xf numFmtId="0" fontId="3" fillId="17" borderId="8" xfId="0" applyFont="1" applyFill="1" applyBorder="1" applyAlignment="1">
      <alignment wrapText="1"/>
    </xf>
    <xf numFmtId="0" fontId="3" fillId="16" borderId="2" xfId="0" applyFont="1" applyFill="1" applyBorder="1" applyAlignment="1">
      <alignment wrapText="1"/>
    </xf>
    <xf numFmtId="0" fontId="3" fillId="16" borderId="3" xfId="0" applyFont="1" applyFill="1" applyBorder="1" applyAlignment="1">
      <alignment wrapText="1"/>
    </xf>
    <xf numFmtId="0" fontId="3" fillId="16" borderId="7" xfId="0" applyFont="1" applyFill="1" applyBorder="1" applyAlignment="1">
      <alignment wrapText="1"/>
    </xf>
    <xf numFmtId="0" fontId="3" fillId="16" borderId="8" xfId="0" applyFont="1" applyFill="1" applyBorder="1" applyAlignment="1">
      <alignment wrapText="1"/>
    </xf>
    <xf numFmtId="0" fontId="0" fillId="0" borderId="3" xfId="0" applyBorder="1" applyAlignment="1">
      <alignment wrapText="1"/>
    </xf>
    <xf numFmtId="0" fontId="0" fillId="0" borderId="0" xfId="0" applyBorder="1" applyAlignment="1">
      <alignment wrapText="1"/>
    </xf>
    <xf numFmtId="0" fontId="0" fillId="0" borderId="8" xfId="0" applyBorder="1" applyAlignment="1">
      <alignment wrapText="1"/>
    </xf>
    <xf numFmtId="0" fontId="0" fillId="0" borderId="0" xfId="0" applyAlignment="1">
      <alignment wrapText="1"/>
    </xf>
    <xf numFmtId="0" fontId="0" fillId="0" borderId="4" xfId="0" applyBorder="1" applyAlignment="1">
      <alignment wrapText="1"/>
    </xf>
    <xf numFmtId="0" fontId="0" fillId="0" borderId="6" xfId="0" applyBorder="1" applyAlignment="1">
      <alignment wrapText="1"/>
    </xf>
    <xf numFmtId="0" fontId="0" fillId="0" borderId="9" xfId="0" applyBorder="1" applyAlignment="1">
      <alignment wrapText="1"/>
    </xf>
    <xf numFmtId="0" fontId="0" fillId="0" borderId="3" xfId="0" applyBorder="1" applyAlignment="1">
      <alignment horizontal="left"/>
    </xf>
    <xf numFmtId="0" fontId="0" fillId="0" borderId="8" xfId="0" applyBorder="1" applyAlignment="1">
      <alignment horizontal="left"/>
    </xf>
    <xf numFmtId="0" fontId="2" fillId="4" borderId="0" xfId="0" applyFont="1" applyFill="1" applyBorder="1" applyAlignment="1">
      <alignment horizontal="left" wrapText="1"/>
    </xf>
    <xf numFmtId="0" fontId="3" fillId="0" borderId="11"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FFCCCC"/>
      <color rgb="FFCCC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javascript:document.detailForm.bibId.value=36312;document.detailForm.subm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84D8-89F1-4D20-8561-D130DC04A547}">
  <dimension ref="A1:AX873"/>
  <sheetViews>
    <sheetView tabSelected="1" zoomScale="80" zoomScaleNormal="80" workbookViewId="0">
      <pane ySplit="2" topLeftCell="A3" activePane="bottomLeft" state="frozen"/>
      <selection activeCell="K1" sqref="K1"/>
      <selection pane="bottomLeft"/>
    </sheetView>
  </sheetViews>
  <sheetFormatPr defaultRowHeight="15" x14ac:dyDescent="0.25"/>
  <cols>
    <col min="1" max="1" width="20.5703125" style="3" customWidth="1"/>
    <col min="2" max="2" width="24.140625" style="3" customWidth="1"/>
    <col min="3" max="3" width="9.140625" style="2" customWidth="1"/>
    <col min="4" max="4" width="11.140625" style="352" customWidth="1"/>
    <col min="5" max="5" width="10" style="352" customWidth="1"/>
    <col min="6" max="6" width="9.140625" style="2" customWidth="1"/>
    <col min="7" max="7" width="12.85546875" style="148" customWidth="1"/>
    <col min="8" max="8" width="11.5703125" style="185" customWidth="1"/>
    <col min="9" max="9" width="18.7109375" style="3" customWidth="1"/>
    <col min="10" max="10" width="9" style="2"/>
    <col min="11" max="11" width="19.85546875" style="16" customWidth="1"/>
    <col min="12" max="13" width="11.85546875" style="969" customWidth="1"/>
    <col min="14" max="14" width="9.7109375" style="185" customWidth="1"/>
    <col min="15" max="15" width="14.42578125" style="185" customWidth="1"/>
    <col min="16" max="16" width="11.85546875" style="2" customWidth="1"/>
    <col min="17" max="19" width="14.42578125" style="185" customWidth="1"/>
    <col min="20" max="20" width="15.85546875" style="185" customWidth="1"/>
    <col min="21" max="23" width="9.140625" style="2" customWidth="1"/>
    <col min="24" max="24" width="11.42578125" style="2" customWidth="1"/>
    <col min="25" max="25" width="16.140625" style="2" customWidth="1"/>
    <col min="26" max="26" width="15.28515625" style="3" customWidth="1"/>
    <col min="27" max="27" width="15.28515625" style="2" customWidth="1"/>
    <col min="28" max="28" width="14.5703125" style="2" customWidth="1"/>
    <col min="29" max="32" width="9.140625" style="2" customWidth="1"/>
    <col min="33" max="34" width="9.140625" style="352" customWidth="1"/>
    <col min="35" max="35" width="18" style="16" customWidth="1"/>
    <col min="36" max="36" width="12.28515625" style="148" customWidth="1"/>
    <col min="37" max="37" width="9.140625" style="148" customWidth="1"/>
    <col min="38" max="39" width="9.140625" style="352" customWidth="1"/>
    <col min="40" max="40" width="46.7109375" style="3" customWidth="1"/>
    <col min="41" max="41" width="66.5703125" style="3" customWidth="1"/>
    <col min="42" max="42" width="26.7109375" style="3" customWidth="1"/>
    <col min="43" max="43" width="19.28515625" style="3" customWidth="1"/>
    <col min="44" max="44" width="12" style="5" customWidth="1"/>
    <col min="45" max="45" width="17" style="3" customWidth="1"/>
    <col min="46" max="46" width="11.42578125" style="5" customWidth="1"/>
    <col min="47" max="47" width="15.5703125" style="3" customWidth="1"/>
  </cols>
  <sheetData>
    <row r="1" spans="1:50" s="8" customFormat="1" x14ac:dyDescent="0.25">
      <c r="A1" s="1034" t="s">
        <v>418</v>
      </c>
      <c r="B1" s="1034"/>
      <c r="C1" s="11"/>
      <c r="D1" s="564"/>
      <c r="E1" s="564"/>
      <c r="F1" s="11"/>
      <c r="G1" s="141"/>
      <c r="H1" s="582"/>
      <c r="I1" s="1034"/>
      <c r="J1" s="9" t="s">
        <v>49</v>
      </c>
      <c r="K1" s="1056"/>
      <c r="L1" s="905"/>
      <c r="M1" s="905"/>
      <c r="N1" s="1064"/>
      <c r="O1" s="1064"/>
      <c r="P1" s="9"/>
      <c r="Q1" s="1064"/>
      <c r="R1" s="1064"/>
      <c r="S1" s="1064"/>
      <c r="T1" s="1064"/>
      <c r="U1" s="9"/>
      <c r="V1" s="9"/>
      <c r="W1" s="9"/>
      <c r="X1" s="9"/>
      <c r="Y1" s="9"/>
      <c r="Z1" s="1105"/>
      <c r="AA1" s="9"/>
      <c r="AB1" s="9"/>
      <c r="AC1" s="9"/>
      <c r="AD1" s="9"/>
      <c r="AE1" s="9"/>
      <c r="AF1" s="9"/>
      <c r="AG1" s="348"/>
      <c r="AH1" s="348"/>
      <c r="AI1" s="1056"/>
      <c r="AJ1" s="177"/>
      <c r="AK1" s="177"/>
      <c r="AL1" s="348"/>
      <c r="AM1" s="348"/>
      <c r="AN1" s="1105"/>
      <c r="AO1" s="1105"/>
      <c r="AP1" s="1105"/>
      <c r="AQ1" s="1105"/>
      <c r="AR1" s="13"/>
      <c r="AS1" s="1105"/>
      <c r="AT1" s="15"/>
      <c r="AU1" s="34"/>
    </row>
    <row r="2" spans="1:50" s="4" customFormat="1" ht="52.5" thickBot="1" x14ac:dyDescent="0.3">
      <c r="A2" s="584" t="s">
        <v>48</v>
      </c>
      <c r="B2" s="584" t="s">
        <v>10085</v>
      </c>
      <c r="C2" s="17" t="s">
        <v>10106</v>
      </c>
      <c r="D2" s="584" t="s">
        <v>72</v>
      </c>
      <c r="E2" s="584" t="s">
        <v>73</v>
      </c>
      <c r="F2" s="18" t="s">
        <v>153</v>
      </c>
      <c r="G2" s="142" t="s">
        <v>154</v>
      </c>
      <c r="H2" s="19" t="s">
        <v>74</v>
      </c>
      <c r="I2" s="21" t="s">
        <v>10086</v>
      </c>
      <c r="J2" s="17" t="s">
        <v>90</v>
      </c>
      <c r="K2" s="1057" t="s">
        <v>0</v>
      </c>
      <c r="L2" s="906" t="s">
        <v>1</v>
      </c>
      <c r="M2" s="906" t="s">
        <v>2</v>
      </c>
      <c r="N2" s="18" t="s">
        <v>10087</v>
      </c>
      <c r="O2" s="23" t="s">
        <v>3</v>
      </c>
      <c r="P2" s="23" t="s">
        <v>10088</v>
      </c>
      <c r="Q2" s="111" t="s">
        <v>10083</v>
      </c>
      <c r="R2" s="111" t="s">
        <v>10084</v>
      </c>
      <c r="S2" s="111" t="s">
        <v>371</v>
      </c>
      <c r="T2" s="111" t="s">
        <v>10081</v>
      </c>
      <c r="U2" s="20" t="s">
        <v>10089</v>
      </c>
      <c r="V2" s="20" t="s">
        <v>8</v>
      </c>
      <c r="W2" s="20" t="s">
        <v>9</v>
      </c>
      <c r="X2" s="91" t="s">
        <v>10090</v>
      </c>
      <c r="Y2" s="112" t="s">
        <v>10091</v>
      </c>
      <c r="Z2" s="609" t="s">
        <v>10092</v>
      </c>
      <c r="AA2" s="91" t="s">
        <v>10105</v>
      </c>
      <c r="AB2" s="113" t="s">
        <v>10093</v>
      </c>
      <c r="AC2" s="114" t="s">
        <v>10094</v>
      </c>
      <c r="AD2" s="114" t="s">
        <v>10095</v>
      </c>
      <c r="AE2" s="114" t="s">
        <v>10097</v>
      </c>
      <c r="AF2" s="114" t="s">
        <v>10096</v>
      </c>
      <c r="AG2" s="114" t="s">
        <v>10098</v>
      </c>
      <c r="AH2" s="114" t="s">
        <v>10099</v>
      </c>
      <c r="AI2" s="1159" t="s">
        <v>10100</v>
      </c>
      <c r="AJ2" s="178" t="s">
        <v>10101</v>
      </c>
      <c r="AK2" s="142" t="s">
        <v>10102</v>
      </c>
      <c r="AL2" s="18" t="s">
        <v>10103</v>
      </c>
      <c r="AM2" s="18" t="s">
        <v>10104</v>
      </c>
      <c r="AN2" s="37" t="s">
        <v>10112</v>
      </c>
      <c r="AO2" s="37" t="s">
        <v>10111</v>
      </c>
      <c r="AP2" s="115" t="s">
        <v>346</v>
      </c>
      <c r="AQ2" s="115" t="s">
        <v>10110</v>
      </c>
      <c r="AR2" s="115" t="s">
        <v>10109</v>
      </c>
      <c r="AS2" s="115" t="s">
        <v>10108</v>
      </c>
      <c r="AT2" s="21" t="s">
        <v>38</v>
      </c>
      <c r="AU2" s="21" t="s">
        <v>10107</v>
      </c>
    </row>
    <row r="3" spans="1:50" s="451" customFormat="1" ht="39.75" thickBot="1" x14ac:dyDescent="0.3">
      <c r="A3" s="345" t="s">
        <v>3284</v>
      </c>
      <c r="B3" s="331" t="s">
        <v>3284</v>
      </c>
      <c r="C3" s="83">
        <v>10</v>
      </c>
      <c r="D3" s="331" t="s">
        <v>57</v>
      </c>
      <c r="E3" s="599"/>
      <c r="F3" s="199" t="s">
        <v>1553</v>
      </c>
      <c r="G3" s="495" t="s">
        <v>1238</v>
      </c>
      <c r="H3" s="301" t="s">
        <v>3289</v>
      </c>
      <c r="I3" s="624" t="s">
        <v>5490</v>
      </c>
      <c r="J3" s="87">
        <v>496</v>
      </c>
      <c r="K3" s="360" t="s">
        <v>3288</v>
      </c>
      <c r="L3" s="907">
        <v>1763633.3622999999</v>
      </c>
      <c r="M3" s="907">
        <v>5875165.4178999998</v>
      </c>
      <c r="N3" s="199"/>
      <c r="O3" s="199" t="s">
        <v>3289</v>
      </c>
      <c r="P3" s="199" t="s">
        <v>193</v>
      </c>
      <c r="Q3" s="1079"/>
      <c r="R3" s="1079"/>
      <c r="S3" s="1079"/>
      <c r="T3" s="332" t="s">
        <v>3289</v>
      </c>
      <c r="U3" s="452" t="s">
        <v>16</v>
      </c>
      <c r="V3" s="176" t="s">
        <v>16</v>
      </c>
      <c r="W3" s="176" t="s">
        <v>16</v>
      </c>
      <c r="X3" s="453" t="s">
        <v>194</v>
      </c>
      <c r="Y3" s="376" t="s">
        <v>3290</v>
      </c>
      <c r="Z3" s="208" t="s">
        <v>1908</v>
      </c>
      <c r="AA3" s="176">
        <v>1</v>
      </c>
      <c r="AB3" s="375" t="s">
        <v>3291</v>
      </c>
      <c r="AC3" s="176">
        <v>650</v>
      </c>
      <c r="AD3" s="176"/>
      <c r="AE3" s="176"/>
      <c r="AF3" s="176"/>
      <c r="AG3" s="176"/>
      <c r="AH3" s="176"/>
      <c r="AI3" s="207" t="s">
        <v>256</v>
      </c>
      <c r="AJ3" s="243"/>
      <c r="AK3" s="243"/>
      <c r="AL3" s="176"/>
      <c r="AM3" s="176"/>
      <c r="AN3" s="207" t="s">
        <v>3292</v>
      </c>
      <c r="AO3" s="207" t="s">
        <v>3293</v>
      </c>
      <c r="AP3" s="374" t="s">
        <v>3297</v>
      </c>
      <c r="AQ3" s="374" t="s">
        <v>37</v>
      </c>
      <c r="AR3" s="377">
        <v>44140</v>
      </c>
      <c r="AS3" s="374" t="s">
        <v>37</v>
      </c>
      <c r="AT3" s="374"/>
      <c r="AU3" s="378"/>
      <c r="AW3" s="551"/>
      <c r="AX3" s="135"/>
    </row>
    <row r="4" spans="1:50" ht="78" thickBot="1" x14ac:dyDescent="0.3">
      <c r="A4" s="334" t="s">
        <v>1461</v>
      </c>
      <c r="B4" s="333" t="s">
        <v>1461</v>
      </c>
      <c r="C4" s="84">
        <v>326</v>
      </c>
      <c r="D4" s="333" t="s">
        <v>53</v>
      </c>
      <c r="E4" s="333" t="s">
        <v>52</v>
      </c>
      <c r="F4" s="109" t="s">
        <v>1440</v>
      </c>
      <c r="G4" s="109" t="s">
        <v>6836</v>
      </c>
      <c r="H4" s="296" t="s">
        <v>5012</v>
      </c>
      <c r="I4" s="625" t="s">
        <v>5019</v>
      </c>
      <c r="J4" s="89">
        <v>1123</v>
      </c>
      <c r="K4" s="396" t="s">
        <v>2271</v>
      </c>
      <c r="L4" s="908">
        <v>1777885.3576</v>
      </c>
      <c r="M4" s="908">
        <v>5456864.6069999998</v>
      </c>
      <c r="N4" s="109"/>
      <c r="O4" s="109" t="s">
        <v>1460</v>
      </c>
      <c r="P4" s="109" t="s">
        <v>5</v>
      </c>
      <c r="Q4" s="296" t="s">
        <v>1459</v>
      </c>
      <c r="R4" s="296"/>
      <c r="S4" s="296"/>
      <c r="T4" s="295" t="s">
        <v>1458</v>
      </c>
      <c r="U4" s="294" t="s">
        <v>85</v>
      </c>
      <c r="V4" s="197" t="s">
        <v>85</v>
      </c>
      <c r="W4" s="197" t="s">
        <v>85</v>
      </c>
      <c r="X4" s="197" t="s">
        <v>5</v>
      </c>
      <c r="Y4" s="307" t="s">
        <v>1457</v>
      </c>
      <c r="Z4" s="92" t="s">
        <v>604</v>
      </c>
      <c r="AA4" s="197">
        <v>1</v>
      </c>
      <c r="AB4" s="293" t="s">
        <v>1456</v>
      </c>
      <c r="AC4" s="197"/>
      <c r="AD4" s="197"/>
      <c r="AE4" s="197">
        <v>14</v>
      </c>
      <c r="AF4" s="197"/>
      <c r="AG4" s="197"/>
      <c r="AH4" s="197"/>
      <c r="AI4" s="94" t="s">
        <v>1455</v>
      </c>
      <c r="AJ4" s="197" t="s">
        <v>13</v>
      </c>
      <c r="AK4" s="197"/>
      <c r="AL4" s="197" t="s">
        <v>1454</v>
      </c>
      <c r="AM4" s="197"/>
      <c r="AN4" s="94" t="s">
        <v>1453</v>
      </c>
      <c r="AO4" s="94" t="s">
        <v>1452</v>
      </c>
      <c r="AP4" s="292" t="s">
        <v>1451</v>
      </c>
      <c r="AQ4" s="292" t="s">
        <v>1380</v>
      </c>
      <c r="AR4" s="291">
        <v>44075</v>
      </c>
      <c r="AS4" s="292" t="s">
        <v>1380</v>
      </c>
      <c r="AT4" s="291">
        <v>44076</v>
      </c>
      <c r="AU4" s="290" t="s">
        <v>37</v>
      </c>
    </row>
    <row r="5" spans="1:50" s="228" customFormat="1" ht="39" x14ac:dyDescent="0.25">
      <c r="A5" s="487" t="s">
        <v>841</v>
      </c>
      <c r="B5" s="128" t="s">
        <v>841</v>
      </c>
      <c r="C5" s="72">
        <v>805</v>
      </c>
      <c r="D5" s="128" t="s">
        <v>52</v>
      </c>
      <c r="E5" s="128" t="s">
        <v>53</v>
      </c>
      <c r="F5" s="129" t="s">
        <v>1262</v>
      </c>
      <c r="G5" s="231" t="s">
        <v>6837</v>
      </c>
      <c r="H5" s="251" t="s">
        <v>5013</v>
      </c>
      <c r="I5" s="626" t="s">
        <v>5302</v>
      </c>
      <c r="J5" s="187">
        <v>146</v>
      </c>
      <c r="K5" s="73" t="s">
        <v>842</v>
      </c>
      <c r="L5" s="909">
        <v>1377477.7311</v>
      </c>
      <c r="M5" s="909">
        <v>4885503.0029999996</v>
      </c>
      <c r="N5" s="129"/>
      <c r="O5" s="129" t="s">
        <v>846</v>
      </c>
      <c r="P5" s="129" t="s">
        <v>193</v>
      </c>
      <c r="Q5" s="251"/>
      <c r="R5" s="251"/>
      <c r="S5" s="251"/>
      <c r="T5" s="266" t="s">
        <v>1201</v>
      </c>
      <c r="U5" s="236" t="s">
        <v>10</v>
      </c>
      <c r="V5" s="153" t="s">
        <v>16</v>
      </c>
      <c r="W5" s="153" t="s">
        <v>16</v>
      </c>
      <c r="X5" s="153" t="s">
        <v>194</v>
      </c>
      <c r="Y5" s="235">
        <v>4</v>
      </c>
      <c r="Z5" s="152" t="s">
        <v>848</v>
      </c>
      <c r="AA5" s="153">
        <v>1</v>
      </c>
      <c r="AB5" s="235" t="s">
        <v>849</v>
      </c>
      <c r="AC5" s="153"/>
      <c r="AD5" s="153">
        <v>1.339</v>
      </c>
      <c r="AE5" s="153">
        <v>15.333</v>
      </c>
      <c r="AF5" s="153"/>
      <c r="AG5" s="153"/>
      <c r="AH5" s="153"/>
      <c r="AI5" s="203" t="s">
        <v>174</v>
      </c>
      <c r="AJ5" s="39"/>
      <c r="AK5" s="39"/>
      <c r="AL5" s="153"/>
      <c r="AM5" s="153"/>
      <c r="AN5" s="203" t="s">
        <v>855</v>
      </c>
      <c r="AO5" s="203" t="s">
        <v>850</v>
      </c>
      <c r="AP5" s="237" t="s">
        <v>852</v>
      </c>
      <c r="AQ5" s="237" t="s">
        <v>37</v>
      </c>
      <c r="AR5" s="238">
        <v>44071</v>
      </c>
      <c r="AS5" s="237" t="s">
        <v>37</v>
      </c>
      <c r="AT5" s="237"/>
      <c r="AU5" s="239"/>
      <c r="AW5"/>
      <c r="AX5"/>
    </row>
    <row r="6" spans="1:50" s="228" customFormat="1" ht="39.75" thickBot="1" x14ac:dyDescent="0.3">
      <c r="A6" s="1035"/>
      <c r="B6" s="133"/>
      <c r="C6" s="78"/>
      <c r="D6" s="133"/>
      <c r="E6" s="133"/>
      <c r="F6" s="119"/>
      <c r="G6" s="232"/>
      <c r="H6" s="233"/>
      <c r="I6" s="234"/>
      <c r="J6" s="192">
        <v>147</v>
      </c>
      <c r="K6" s="79" t="s">
        <v>851</v>
      </c>
      <c r="L6" s="910">
        <v>1383360.1666999999</v>
      </c>
      <c r="M6" s="910">
        <v>4894044.9878000002</v>
      </c>
      <c r="N6" s="119"/>
      <c r="O6" s="119" t="s">
        <v>847</v>
      </c>
      <c r="P6" s="119" t="s">
        <v>193</v>
      </c>
      <c r="Q6" s="233"/>
      <c r="R6" s="233"/>
      <c r="S6" s="233"/>
      <c r="T6" s="267" t="s">
        <v>892</v>
      </c>
      <c r="U6" s="240" t="s">
        <v>16</v>
      </c>
      <c r="V6" s="156" t="s">
        <v>16</v>
      </c>
      <c r="W6" s="156" t="s">
        <v>16</v>
      </c>
      <c r="X6" s="156" t="s">
        <v>194</v>
      </c>
      <c r="Y6" s="229">
        <v>4</v>
      </c>
      <c r="Z6" s="155" t="s">
        <v>848</v>
      </c>
      <c r="AA6" s="156">
        <v>1</v>
      </c>
      <c r="AB6" s="229">
        <v>125</v>
      </c>
      <c r="AC6" s="156">
        <v>125</v>
      </c>
      <c r="AD6" s="156"/>
      <c r="AE6" s="156"/>
      <c r="AF6" s="156"/>
      <c r="AG6" s="156"/>
      <c r="AH6" s="156"/>
      <c r="AI6" s="183" t="s">
        <v>23</v>
      </c>
      <c r="AJ6" s="49"/>
      <c r="AK6" s="49"/>
      <c r="AL6" s="156"/>
      <c r="AM6" s="156"/>
      <c r="AN6" s="183" t="s">
        <v>856</v>
      </c>
      <c r="AO6" s="183" t="s">
        <v>854</v>
      </c>
      <c r="AP6" s="241" t="s">
        <v>853</v>
      </c>
      <c r="AQ6" s="241" t="s">
        <v>37</v>
      </c>
      <c r="AR6" s="242">
        <v>44071</v>
      </c>
      <c r="AS6" s="241" t="s">
        <v>37</v>
      </c>
      <c r="AT6" s="241"/>
      <c r="AU6" s="230"/>
      <c r="AW6"/>
      <c r="AX6"/>
    </row>
    <row r="7" spans="1:50" s="8" customFormat="1" ht="65.25" thickBot="1" x14ac:dyDescent="0.3">
      <c r="A7" s="341" t="s">
        <v>1470</v>
      </c>
      <c r="B7" s="181" t="s">
        <v>5170</v>
      </c>
      <c r="C7" s="125">
        <v>319</v>
      </c>
      <c r="D7" s="181" t="s">
        <v>53</v>
      </c>
      <c r="E7" s="181" t="s">
        <v>52</v>
      </c>
      <c r="F7" s="125" t="s">
        <v>567</v>
      </c>
      <c r="G7" s="125" t="s">
        <v>1972</v>
      </c>
      <c r="H7" s="126" t="s">
        <v>5574</v>
      </c>
      <c r="I7" s="247" t="s">
        <v>5577</v>
      </c>
      <c r="J7" s="89">
        <v>2324</v>
      </c>
      <c r="K7" s="396" t="s">
        <v>5171</v>
      </c>
      <c r="L7" s="908">
        <v>1843355.659</v>
      </c>
      <c r="M7" s="908">
        <v>5495161.2158000004</v>
      </c>
      <c r="N7" s="109">
        <v>30</v>
      </c>
      <c r="O7" s="109" t="s">
        <v>5172</v>
      </c>
      <c r="P7" s="109" t="s">
        <v>5</v>
      </c>
      <c r="Q7" s="296"/>
      <c r="R7" s="296"/>
      <c r="S7" s="296"/>
      <c r="T7" s="295" t="s">
        <v>5691</v>
      </c>
      <c r="U7" s="294" t="s">
        <v>16</v>
      </c>
      <c r="V7" s="197" t="s">
        <v>85</v>
      </c>
      <c r="W7" s="197" t="s">
        <v>16</v>
      </c>
      <c r="X7" s="197" t="s">
        <v>61</v>
      </c>
      <c r="Y7" s="307" t="s">
        <v>5173</v>
      </c>
      <c r="Z7" s="92" t="s">
        <v>798</v>
      </c>
      <c r="AA7" s="197">
        <v>2</v>
      </c>
      <c r="AB7" s="307" t="s">
        <v>5156</v>
      </c>
      <c r="AC7" s="197">
        <v>12</v>
      </c>
      <c r="AD7" s="197"/>
      <c r="AE7" s="532"/>
      <c r="AF7" s="197">
        <v>10</v>
      </c>
      <c r="AG7" s="532"/>
      <c r="AH7" s="532"/>
      <c r="AI7" s="94" t="s">
        <v>256</v>
      </c>
      <c r="AJ7" s="197" t="s">
        <v>3459</v>
      </c>
      <c r="AK7" s="197"/>
      <c r="AL7" s="197"/>
      <c r="AM7" s="197"/>
      <c r="AN7" s="94" t="s">
        <v>6855</v>
      </c>
      <c r="AO7" s="292" t="s">
        <v>5696</v>
      </c>
      <c r="AP7" s="292" t="s">
        <v>1462</v>
      </c>
      <c r="AQ7" s="292" t="s">
        <v>3457</v>
      </c>
      <c r="AR7" s="291">
        <v>44245</v>
      </c>
      <c r="AS7" s="292" t="s">
        <v>3457</v>
      </c>
      <c r="AT7" s="291">
        <v>44267</v>
      </c>
      <c r="AU7" s="290" t="s">
        <v>37</v>
      </c>
      <c r="AW7" s="325"/>
    </row>
    <row r="8" spans="1:50" s="8" customFormat="1" ht="27" thickBot="1" x14ac:dyDescent="0.3">
      <c r="A8" s="339"/>
      <c r="B8" s="338"/>
      <c r="C8" s="277"/>
      <c r="D8" s="338"/>
      <c r="E8" s="338"/>
      <c r="F8" s="277"/>
      <c r="G8" s="277"/>
      <c r="H8" s="276"/>
      <c r="I8" s="122"/>
      <c r="J8" s="89">
        <v>2325</v>
      </c>
      <c r="K8" s="396" t="s">
        <v>5175</v>
      </c>
      <c r="L8" s="908">
        <v>1844059.7764999999</v>
      </c>
      <c r="M8" s="908">
        <v>5496577.6876999997</v>
      </c>
      <c r="N8" s="109">
        <v>25</v>
      </c>
      <c r="O8" s="109" t="s">
        <v>5176</v>
      </c>
      <c r="P8" s="109" t="s">
        <v>5</v>
      </c>
      <c r="Q8" s="296"/>
      <c r="R8" s="296"/>
      <c r="S8" s="296"/>
      <c r="T8" s="295" t="s">
        <v>5692</v>
      </c>
      <c r="U8" s="294" t="s">
        <v>16</v>
      </c>
      <c r="V8" s="197" t="s">
        <v>85</v>
      </c>
      <c r="W8" s="197" t="s">
        <v>16</v>
      </c>
      <c r="X8" s="197" t="s">
        <v>61</v>
      </c>
      <c r="Y8" s="307" t="s">
        <v>5177</v>
      </c>
      <c r="Z8" s="92" t="s">
        <v>58</v>
      </c>
      <c r="AA8" s="197">
        <v>2</v>
      </c>
      <c r="AB8" s="307" t="s">
        <v>5156</v>
      </c>
      <c r="AC8" s="197">
        <v>12</v>
      </c>
      <c r="AD8" s="197"/>
      <c r="AE8" s="532"/>
      <c r="AF8" s="197">
        <v>10</v>
      </c>
      <c r="AG8" s="532"/>
      <c r="AH8" s="532"/>
      <c r="AI8" s="94" t="s">
        <v>256</v>
      </c>
      <c r="AJ8" s="197" t="s">
        <v>3459</v>
      </c>
      <c r="AK8" s="197"/>
      <c r="AL8" s="197"/>
      <c r="AM8" s="197"/>
      <c r="AN8" s="94" t="s">
        <v>6855</v>
      </c>
      <c r="AO8" s="292" t="s">
        <v>5696</v>
      </c>
      <c r="AP8" s="292" t="s">
        <v>1462</v>
      </c>
      <c r="AQ8" s="292" t="s">
        <v>3457</v>
      </c>
      <c r="AR8" s="291">
        <v>44245</v>
      </c>
      <c r="AS8" s="292" t="s">
        <v>3457</v>
      </c>
      <c r="AT8" s="291">
        <v>44267</v>
      </c>
      <c r="AU8" s="290" t="s">
        <v>37</v>
      </c>
      <c r="AW8" s="551"/>
      <c r="AX8" s="135"/>
    </row>
    <row r="9" spans="1:50" s="8" customFormat="1" ht="27" thickBot="1" x14ac:dyDescent="0.3">
      <c r="A9" s="339"/>
      <c r="B9" s="338"/>
      <c r="C9" s="277"/>
      <c r="D9" s="338"/>
      <c r="E9" s="338"/>
      <c r="F9" s="277"/>
      <c r="G9" s="277"/>
      <c r="H9" s="276"/>
      <c r="I9" s="122"/>
      <c r="J9" s="89">
        <v>2326</v>
      </c>
      <c r="K9" s="396" t="s">
        <v>5179</v>
      </c>
      <c r="L9" s="908">
        <v>1847315.4309</v>
      </c>
      <c r="M9" s="908">
        <v>5501500.9206999997</v>
      </c>
      <c r="N9" s="109">
        <v>45</v>
      </c>
      <c r="O9" s="109" t="s">
        <v>5180</v>
      </c>
      <c r="P9" s="109" t="s">
        <v>5</v>
      </c>
      <c r="Q9" s="296"/>
      <c r="R9" s="296"/>
      <c r="S9" s="296"/>
      <c r="T9" s="295" t="s">
        <v>5693</v>
      </c>
      <c r="U9" s="294" t="s">
        <v>16</v>
      </c>
      <c r="V9" s="197" t="s">
        <v>85</v>
      </c>
      <c r="W9" s="197" t="s">
        <v>16</v>
      </c>
      <c r="X9" s="197" t="s">
        <v>61</v>
      </c>
      <c r="Y9" s="307" t="s">
        <v>5181</v>
      </c>
      <c r="Z9" s="92" t="s">
        <v>401</v>
      </c>
      <c r="AA9" s="197">
        <v>2</v>
      </c>
      <c r="AB9" s="307" t="s">
        <v>5156</v>
      </c>
      <c r="AC9" s="197">
        <v>12</v>
      </c>
      <c r="AD9" s="197"/>
      <c r="AE9" s="532"/>
      <c r="AF9" s="197">
        <v>10</v>
      </c>
      <c r="AG9" s="532"/>
      <c r="AH9" s="532"/>
      <c r="AI9" s="94" t="s">
        <v>256</v>
      </c>
      <c r="AJ9" s="197" t="s">
        <v>3459</v>
      </c>
      <c r="AK9" s="197"/>
      <c r="AL9" s="197"/>
      <c r="AM9" s="197"/>
      <c r="AN9" s="94" t="s">
        <v>6855</v>
      </c>
      <c r="AO9" s="292" t="s">
        <v>5696</v>
      </c>
      <c r="AP9" s="292" t="s">
        <v>1462</v>
      </c>
      <c r="AQ9" s="292" t="s">
        <v>3457</v>
      </c>
      <c r="AR9" s="291">
        <v>44245</v>
      </c>
      <c r="AS9" s="292" t="s">
        <v>3457</v>
      </c>
      <c r="AT9" s="291">
        <v>44267</v>
      </c>
      <c r="AU9" s="290" t="s">
        <v>37</v>
      </c>
      <c r="AW9" s="551"/>
      <c r="AX9" s="135"/>
    </row>
    <row r="10" spans="1:50" s="8" customFormat="1" ht="27" thickBot="1" x14ac:dyDescent="0.3">
      <c r="A10" s="336"/>
      <c r="B10" s="196"/>
      <c r="C10" s="96"/>
      <c r="D10" s="196"/>
      <c r="E10" s="196"/>
      <c r="F10" s="96"/>
      <c r="G10" s="96"/>
      <c r="H10" s="107"/>
      <c r="I10" s="123"/>
      <c r="J10" s="89">
        <v>2327</v>
      </c>
      <c r="K10" s="396" t="s">
        <v>5183</v>
      </c>
      <c r="L10" s="908">
        <v>1848118.3705</v>
      </c>
      <c r="M10" s="908">
        <v>5502945.9853999997</v>
      </c>
      <c r="N10" s="109">
        <v>50</v>
      </c>
      <c r="O10" s="109" t="s">
        <v>5184</v>
      </c>
      <c r="P10" s="109" t="s">
        <v>5</v>
      </c>
      <c r="Q10" s="296"/>
      <c r="R10" s="296"/>
      <c r="S10" s="296"/>
      <c r="T10" s="295" t="s">
        <v>5694</v>
      </c>
      <c r="U10" s="294" t="s">
        <v>16</v>
      </c>
      <c r="V10" s="197" t="s">
        <v>85</v>
      </c>
      <c r="W10" s="197" t="s">
        <v>16</v>
      </c>
      <c r="X10" s="197" t="s">
        <v>5</v>
      </c>
      <c r="Y10" s="307" t="s">
        <v>5185</v>
      </c>
      <c r="Z10" s="92" t="s">
        <v>798</v>
      </c>
      <c r="AA10" s="197">
        <v>2</v>
      </c>
      <c r="AB10" s="307" t="s">
        <v>5156</v>
      </c>
      <c r="AC10" s="197">
        <v>12</v>
      </c>
      <c r="AD10" s="197"/>
      <c r="AE10" s="532"/>
      <c r="AF10" s="197">
        <v>10</v>
      </c>
      <c r="AG10" s="532"/>
      <c r="AH10" s="532"/>
      <c r="AI10" s="94" t="s">
        <v>256</v>
      </c>
      <c r="AJ10" s="197" t="s">
        <v>3459</v>
      </c>
      <c r="AK10" s="197"/>
      <c r="AL10" s="197"/>
      <c r="AM10" s="197"/>
      <c r="AN10" s="94" t="s">
        <v>6855</v>
      </c>
      <c r="AO10" s="292" t="s">
        <v>5696</v>
      </c>
      <c r="AP10" s="292" t="s">
        <v>1462</v>
      </c>
      <c r="AQ10" s="292" t="s">
        <v>3457</v>
      </c>
      <c r="AR10" s="291">
        <v>44245</v>
      </c>
      <c r="AS10" s="292" t="s">
        <v>3457</v>
      </c>
      <c r="AT10" s="291">
        <v>44267</v>
      </c>
      <c r="AU10" s="290" t="s">
        <v>37</v>
      </c>
    </row>
    <row r="11" spans="1:50" ht="90.75" thickBot="1" x14ac:dyDescent="0.3">
      <c r="A11" s="487" t="s">
        <v>1470</v>
      </c>
      <c r="B11" s="128" t="s">
        <v>5161</v>
      </c>
      <c r="C11" s="72">
        <v>321</v>
      </c>
      <c r="D11" s="128" t="s">
        <v>53</v>
      </c>
      <c r="E11" s="128" t="s">
        <v>52</v>
      </c>
      <c r="F11" s="129" t="s">
        <v>567</v>
      </c>
      <c r="G11" s="129" t="s">
        <v>1972</v>
      </c>
      <c r="H11" s="129" t="s">
        <v>5576</v>
      </c>
      <c r="I11" s="626" t="s">
        <v>150</v>
      </c>
      <c r="J11" s="83">
        <v>1120</v>
      </c>
      <c r="K11" s="360" t="s">
        <v>1469</v>
      </c>
      <c r="L11" s="907">
        <v>1841704.595</v>
      </c>
      <c r="M11" s="907">
        <v>5492393.0903000003</v>
      </c>
      <c r="N11" s="199"/>
      <c r="O11" s="199" t="s">
        <v>1468</v>
      </c>
      <c r="P11" s="199" t="s">
        <v>5</v>
      </c>
      <c r="Q11" s="301"/>
      <c r="R11" s="301"/>
      <c r="S11" s="301"/>
      <c r="T11" s="300" t="s">
        <v>5005</v>
      </c>
      <c r="U11" s="294" t="s">
        <v>16</v>
      </c>
      <c r="V11" s="197" t="s">
        <v>85</v>
      </c>
      <c r="W11" s="197" t="s">
        <v>85</v>
      </c>
      <c r="X11" s="197" t="s">
        <v>5</v>
      </c>
      <c r="Y11" s="293" t="s">
        <v>1467</v>
      </c>
      <c r="Z11" s="92" t="s">
        <v>402</v>
      </c>
      <c r="AA11" s="197">
        <v>2</v>
      </c>
      <c r="AB11" s="293" t="s">
        <v>1466</v>
      </c>
      <c r="AC11" s="197"/>
      <c r="AD11" s="197">
        <v>0.51</v>
      </c>
      <c r="AE11" s="197">
        <v>2.96</v>
      </c>
      <c r="AF11" s="197"/>
      <c r="AG11" s="197"/>
      <c r="AH11" s="197"/>
      <c r="AI11" s="94" t="s">
        <v>549</v>
      </c>
      <c r="AJ11" s="197"/>
      <c r="AK11" s="197">
        <v>2</v>
      </c>
      <c r="AL11" s="197"/>
      <c r="AM11" s="197"/>
      <c r="AN11" s="94" t="s">
        <v>1465</v>
      </c>
      <c r="AO11" s="94" t="s">
        <v>1464</v>
      </c>
      <c r="AP11" s="292" t="s">
        <v>1682</v>
      </c>
      <c r="AQ11" s="292" t="s">
        <v>1380</v>
      </c>
      <c r="AR11" s="291">
        <v>44083</v>
      </c>
      <c r="AS11" s="292" t="s">
        <v>1380</v>
      </c>
      <c r="AT11" s="291">
        <v>44084</v>
      </c>
      <c r="AU11" s="290" t="s">
        <v>37</v>
      </c>
    </row>
    <row r="12" spans="1:50" ht="52.5" thickBot="1" x14ac:dyDescent="0.3">
      <c r="A12" s="488"/>
      <c r="B12" s="131"/>
      <c r="C12" s="75"/>
      <c r="D12" s="131"/>
      <c r="E12" s="131"/>
      <c r="F12" s="118"/>
      <c r="G12" s="118"/>
      <c r="H12" s="312"/>
      <c r="I12" s="313"/>
      <c r="J12" s="83">
        <v>1117</v>
      </c>
      <c r="K12" s="360" t="s">
        <v>5006</v>
      </c>
      <c r="L12" s="907">
        <v>1842190.2704</v>
      </c>
      <c r="M12" s="907">
        <v>5493481.9063999997</v>
      </c>
      <c r="N12" s="199"/>
      <c r="O12" s="199" t="s">
        <v>41</v>
      </c>
      <c r="P12" s="199" t="s">
        <v>5</v>
      </c>
      <c r="Q12" s="301"/>
      <c r="R12" s="301"/>
      <c r="S12" s="301"/>
      <c r="T12" s="300" t="s">
        <v>5504</v>
      </c>
      <c r="U12" s="294" t="s">
        <v>85</v>
      </c>
      <c r="V12" s="197" t="s">
        <v>16</v>
      </c>
      <c r="W12" s="197" t="s">
        <v>85</v>
      </c>
      <c r="X12" s="197" t="s">
        <v>5</v>
      </c>
      <c r="Y12" s="293" t="s">
        <v>1163</v>
      </c>
      <c r="Z12" s="92" t="s">
        <v>533</v>
      </c>
      <c r="AA12" s="197"/>
      <c r="AB12" s="293">
        <v>7</v>
      </c>
      <c r="AC12" s="197"/>
      <c r="AD12" s="197"/>
      <c r="AE12" s="197"/>
      <c r="AF12" s="197"/>
      <c r="AG12" s="197"/>
      <c r="AH12" s="197"/>
      <c r="AI12" s="94" t="s">
        <v>549</v>
      </c>
      <c r="AJ12" s="197"/>
      <c r="AK12" s="197"/>
      <c r="AL12" s="197"/>
      <c r="AM12" s="197"/>
      <c r="AN12" s="94" t="s">
        <v>5503</v>
      </c>
      <c r="AO12" s="94" t="s">
        <v>5007</v>
      </c>
      <c r="AP12" s="292" t="s">
        <v>5008</v>
      </c>
      <c r="AQ12" s="292" t="s">
        <v>1380</v>
      </c>
      <c r="AR12" s="291">
        <v>44259</v>
      </c>
      <c r="AS12" s="292" t="s">
        <v>1380</v>
      </c>
      <c r="AT12" s="377">
        <v>44251</v>
      </c>
      <c r="AU12" s="378" t="s">
        <v>37</v>
      </c>
    </row>
    <row r="13" spans="1:50" s="8" customFormat="1" ht="27" thickBot="1" x14ac:dyDescent="0.3">
      <c r="A13" s="488"/>
      <c r="B13" s="131"/>
      <c r="C13" s="75"/>
      <c r="D13" s="131"/>
      <c r="E13" s="131"/>
      <c r="F13" s="75"/>
      <c r="G13" s="75"/>
      <c r="H13" s="118"/>
      <c r="I13" s="121"/>
      <c r="J13" s="83">
        <v>2320</v>
      </c>
      <c r="K13" s="360" t="s">
        <v>5162</v>
      </c>
      <c r="L13" s="907">
        <v>1839313.7326</v>
      </c>
      <c r="M13" s="907">
        <v>5489665.3559999997</v>
      </c>
      <c r="N13" s="199">
        <v>30</v>
      </c>
      <c r="O13" s="199" t="s">
        <v>5163</v>
      </c>
      <c r="P13" s="199" t="s">
        <v>5</v>
      </c>
      <c r="Q13" s="301"/>
      <c r="R13" s="301"/>
      <c r="S13" s="301"/>
      <c r="T13" s="300" t="s">
        <v>5697</v>
      </c>
      <c r="U13" s="294" t="s">
        <v>16</v>
      </c>
      <c r="V13" s="197" t="s">
        <v>85</v>
      </c>
      <c r="W13" s="197" t="s">
        <v>16</v>
      </c>
      <c r="X13" s="197" t="s">
        <v>61</v>
      </c>
      <c r="Y13" s="307" t="s">
        <v>5164</v>
      </c>
      <c r="Z13" s="92" t="s">
        <v>798</v>
      </c>
      <c r="AA13" s="197">
        <v>2</v>
      </c>
      <c r="AB13" s="307" t="s">
        <v>5156</v>
      </c>
      <c r="AC13" s="197">
        <v>12</v>
      </c>
      <c r="AD13" s="197"/>
      <c r="AE13" s="532"/>
      <c r="AF13" s="197">
        <v>10</v>
      </c>
      <c r="AG13" s="532"/>
      <c r="AH13" s="532"/>
      <c r="AI13" s="94" t="s">
        <v>256</v>
      </c>
      <c r="AJ13" s="197" t="s">
        <v>3459</v>
      </c>
      <c r="AK13" s="197"/>
      <c r="AL13" s="197"/>
      <c r="AM13" s="197"/>
      <c r="AN13" s="94" t="s">
        <v>5695</v>
      </c>
      <c r="AO13" s="292" t="s">
        <v>5699</v>
      </c>
      <c r="AP13" s="292" t="s">
        <v>1462</v>
      </c>
      <c r="AQ13" s="292" t="s">
        <v>3457</v>
      </c>
      <c r="AR13" s="291">
        <v>44245</v>
      </c>
      <c r="AS13" s="292" t="s">
        <v>3457</v>
      </c>
      <c r="AT13" s="291">
        <v>44267</v>
      </c>
      <c r="AU13" s="290" t="s">
        <v>37</v>
      </c>
    </row>
    <row r="14" spans="1:50" s="8" customFormat="1" ht="27" thickBot="1" x14ac:dyDescent="0.3">
      <c r="A14" s="489"/>
      <c r="B14" s="133"/>
      <c r="C14" s="78"/>
      <c r="D14" s="133"/>
      <c r="E14" s="133"/>
      <c r="F14" s="78"/>
      <c r="G14" s="78"/>
      <c r="H14" s="119"/>
      <c r="I14" s="429"/>
      <c r="J14" s="78">
        <v>2321</v>
      </c>
      <c r="K14" s="79" t="s">
        <v>5165</v>
      </c>
      <c r="L14" s="910">
        <v>1841539.6470999999</v>
      </c>
      <c r="M14" s="910">
        <v>5492239.4737</v>
      </c>
      <c r="N14" s="119">
        <v>45</v>
      </c>
      <c r="O14" s="119" t="s">
        <v>5166</v>
      </c>
      <c r="P14" s="119" t="s">
        <v>194</v>
      </c>
      <c r="Q14" s="233"/>
      <c r="R14" s="233"/>
      <c r="S14" s="233"/>
      <c r="T14" s="322" t="s">
        <v>5167</v>
      </c>
      <c r="U14" s="294" t="s">
        <v>16</v>
      </c>
      <c r="V14" s="197" t="s">
        <v>16</v>
      </c>
      <c r="W14" s="197" t="s">
        <v>16</v>
      </c>
      <c r="X14" s="197" t="s">
        <v>194</v>
      </c>
      <c r="Y14" s="307" t="s">
        <v>3466</v>
      </c>
      <c r="Z14" s="92" t="s">
        <v>604</v>
      </c>
      <c r="AA14" s="197">
        <v>2</v>
      </c>
      <c r="AB14" s="307" t="s">
        <v>5168</v>
      </c>
      <c r="AC14" s="197">
        <v>12</v>
      </c>
      <c r="AD14" s="197"/>
      <c r="AE14" s="532"/>
      <c r="AF14" s="197">
        <v>8</v>
      </c>
      <c r="AG14" s="532"/>
      <c r="AH14" s="532"/>
      <c r="AI14" s="94" t="s">
        <v>256</v>
      </c>
      <c r="AJ14" s="197" t="s">
        <v>3459</v>
      </c>
      <c r="AK14" s="197"/>
      <c r="AL14" s="197"/>
      <c r="AM14" s="197"/>
      <c r="AN14" s="94" t="s">
        <v>5698</v>
      </c>
      <c r="AO14" s="94" t="s">
        <v>5169</v>
      </c>
      <c r="AP14" s="292" t="s">
        <v>1462</v>
      </c>
      <c r="AQ14" s="292" t="s">
        <v>3457</v>
      </c>
      <c r="AR14" s="291">
        <v>44245</v>
      </c>
      <c r="AS14" s="292" t="s">
        <v>3457</v>
      </c>
      <c r="AT14" s="291">
        <v>44267</v>
      </c>
      <c r="AU14" s="290" t="s">
        <v>37</v>
      </c>
    </row>
    <row r="15" spans="1:50" ht="51.75" x14ac:dyDescent="0.25">
      <c r="A15" s="341" t="s">
        <v>86</v>
      </c>
      <c r="B15" s="181" t="s">
        <v>4982</v>
      </c>
      <c r="C15" s="125">
        <v>603</v>
      </c>
      <c r="D15" s="585" t="s">
        <v>53</v>
      </c>
      <c r="E15" s="585"/>
      <c r="F15" s="125" t="s">
        <v>152</v>
      </c>
      <c r="G15" s="145" t="s">
        <v>1974</v>
      </c>
      <c r="H15" s="126" t="s">
        <v>5289</v>
      </c>
      <c r="I15" s="247" t="s">
        <v>5301</v>
      </c>
      <c r="J15" s="189">
        <v>52</v>
      </c>
      <c r="K15" s="355" t="s">
        <v>6928</v>
      </c>
      <c r="L15" s="911">
        <v>1135272</v>
      </c>
      <c r="M15" s="911">
        <v>5003460</v>
      </c>
      <c r="N15" s="126"/>
      <c r="O15" s="126">
        <v>31.8</v>
      </c>
      <c r="P15" s="125" t="s">
        <v>5</v>
      </c>
      <c r="Q15" s="126"/>
      <c r="R15" s="126"/>
      <c r="S15" s="126" t="s">
        <v>366</v>
      </c>
      <c r="T15" s="344" t="s">
        <v>469</v>
      </c>
      <c r="U15" s="102" t="s">
        <v>10</v>
      </c>
      <c r="V15" s="24" t="s">
        <v>16</v>
      </c>
      <c r="W15" s="24" t="s">
        <v>16</v>
      </c>
      <c r="X15" s="24" t="s">
        <v>5</v>
      </c>
      <c r="Y15" s="24" t="s">
        <v>337</v>
      </c>
      <c r="Z15" s="46" t="s">
        <v>341</v>
      </c>
      <c r="AA15" s="24">
        <v>1</v>
      </c>
      <c r="AB15" s="24" t="s">
        <v>342</v>
      </c>
      <c r="AC15" s="24">
        <v>17</v>
      </c>
      <c r="AD15" s="24">
        <v>15</v>
      </c>
      <c r="AE15" s="24">
        <v>19</v>
      </c>
      <c r="AF15" s="24"/>
      <c r="AG15" s="351"/>
      <c r="AH15" s="351"/>
      <c r="AI15" s="45" t="s">
        <v>550</v>
      </c>
      <c r="AJ15" s="103" t="s">
        <v>13</v>
      </c>
      <c r="AK15" s="103"/>
      <c r="AL15" s="351"/>
      <c r="AM15" s="351"/>
      <c r="AN15" s="45" t="s">
        <v>464</v>
      </c>
      <c r="AO15" s="46" t="s">
        <v>343</v>
      </c>
      <c r="AP15" s="46" t="s">
        <v>344</v>
      </c>
      <c r="AQ15" s="46" t="s">
        <v>37</v>
      </c>
      <c r="AR15" s="47">
        <v>44244</v>
      </c>
      <c r="AS15" s="46" t="s">
        <v>37</v>
      </c>
      <c r="AT15" s="365"/>
      <c r="AU15" s="1107"/>
    </row>
    <row r="16" spans="1:50" ht="52.5" thickBot="1" x14ac:dyDescent="0.3">
      <c r="A16" s="336"/>
      <c r="B16" s="196"/>
      <c r="C16" s="96"/>
      <c r="D16" s="566"/>
      <c r="E16" s="566"/>
      <c r="F16" s="96"/>
      <c r="G16" s="147"/>
      <c r="H16" s="107"/>
      <c r="I16" s="123"/>
      <c r="J16" s="190">
        <v>53</v>
      </c>
      <c r="K16" s="357" t="s">
        <v>6929</v>
      </c>
      <c r="L16" s="912">
        <v>1133609</v>
      </c>
      <c r="M16" s="912">
        <v>5000919</v>
      </c>
      <c r="N16" s="107"/>
      <c r="O16" s="107">
        <v>31.2</v>
      </c>
      <c r="P16" s="96" t="s">
        <v>5</v>
      </c>
      <c r="Q16" s="107"/>
      <c r="R16" s="107"/>
      <c r="S16" s="107" t="s">
        <v>367</v>
      </c>
      <c r="T16" s="127" t="s">
        <v>470</v>
      </c>
      <c r="U16" s="102" t="s">
        <v>10</v>
      </c>
      <c r="V16" s="24" t="s">
        <v>16</v>
      </c>
      <c r="W16" s="24" t="s">
        <v>16</v>
      </c>
      <c r="X16" s="24" t="s">
        <v>5</v>
      </c>
      <c r="Y16" s="24" t="s">
        <v>338</v>
      </c>
      <c r="Z16" s="46" t="s">
        <v>341</v>
      </c>
      <c r="AA16" s="24">
        <v>1</v>
      </c>
      <c r="AB16" s="24" t="s">
        <v>342</v>
      </c>
      <c r="AC16" s="24">
        <v>17</v>
      </c>
      <c r="AD16" s="24">
        <v>15</v>
      </c>
      <c r="AE16" s="24">
        <v>19</v>
      </c>
      <c r="AF16" s="24"/>
      <c r="AG16" s="351"/>
      <c r="AH16" s="351"/>
      <c r="AI16" s="45" t="s">
        <v>550</v>
      </c>
      <c r="AJ16" s="103" t="s">
        <v>13</v>
      </c>
      <c r="AK16" s="103"/>
      <c r="AL16" s="351"/>
      <c r="AM16" s="351"/>
      <c r="AN16" s="45" t="s">
        <v>464</v>
      </c>
      <c r="AO16" s="46" t="s">
        <v>343</v>
      </c>
      <c r="AP16" s="46" t="s">
        <v>344</v>
      </c>
      <c r="AQ16" s="46" t="s">
        <v>37</v>
      </c>
      <c r="AR16" s="47">
        <v>44244</v>
      </c>
      <c r="AS16" s="46" t="s">
        <v>37</v>
      </c>
      <c r="AT16" s="365"/>
      <c r="AU16" s="1107"/>
    </row>
    <row r="17" spans="1:47" ht="52.5" thickBot="1" x14ac:dyDescent="0.3">
      <c r="A17" s="345" t="s">
        <v>86</v>
      </c>
      <c r="B17" s="331" t="s">
        <v>6838</v>
      </c>
      <c r="C17" s="83">
        <v>602</v>
      </c>
      <c r="D17" s="588" t="s">
        <v>53</v>
      </c>
      <c r="E17" s="588"/>
      <c r="F17" s="83" t="s">
        <v>152</v>
      </c>
      <c r="G17" s="268" t="s">
        <v>1974</v>
      </c>
      <c r="H17" s="199" t="s">
        <v>5290</v>
      </c>
      <c r="I17" s="395" t="s">
        <v>5301</v>
      </c>
      <c r="J17" s="87">
        <v>51</v>
      </c>
      <c r="K17" s="360" t="s">
        <v>330</v>
      </c>
      <c r="L17" s="198">
        <v>1145904</v>
      </c>
      <c r="M17" s="198">
        <v>5017438</v>
      </c>
      <c r="N17" s="199"/>
      <c r="O17" s="199">
        <v>27.1</v>
      </c>
      <c r="P17" s="83" t="s">
        <v>5</v>
      </c>
      <c r="Q17" s="199"/>
      <c r="R17" s="199"/>
      <c r="S17" s="199" t="s">
        <v>365</v>
      </c>
      <c r="T17" s="332" t="s">
        <v>468</v>
      </c>
      <c r="U17" s="85" t="s">
        <v>10</v>
      </c>
      <c r="V17" s="86" t="s">
        <v>16</v>
      </c>
      <c r="W17" s="86" t="s">
        <v>16</v>
      </c>
      <c r="X17" s="86" t="s">
        <v>5</v>
      </c>
      <c r="Y17" s="86" t="s">
        <v>336</v>
      </c>
      <c r="Z17" s="92" t="s">
        <v>24</v>
      </c>
      <c r="AA17" s="86">
        <v>1</v>
      </c>
      <c r="AB17" s="86" t="s">
        <v>342</v>
      </c>
      <c r="AC17" s="86">
        <v>17</v>
      </c>
      <c r="AD17" s="86">
        <v>15</v>
      </c>
      <c r="AE17" s="86">
        <v>19</v>
      </c>
      <c r="AF17" s="86"/>
      <c r="AG17" s="387"/>
      <c r="AH17" s="387"/>
      <c r="AI17" s="94" t="s">
        <v>550</v>
      </c>
      <c r="AJ17" s="106" t="s">
        <v>13</v>
      </c>
      <c r="AK17" s="106"/>
      <c r="AL17" s="387"/>
      <c r="AM17" s="387"/>
      <c r="AN17" s="94" t="s">
        <v>464</v>
      </c>
      <c r="AO17" s="92" t="s">
        <v>343</v>
      </c>
      <c r="AP17" s="92" t="s">
        <v>344</v>
      </c>
      <c r="AQ17" s="92" t="s">
        <v>37</v>
      </c>
      <c r="AR17" s="93">
        <v>44244</v>
      </c>
      <c r="AS17" s="92" t="s">
        <v>37</v>
      </c>
      <c r="AT17" s="368"/>
      <c r="AU17" s="1108"/>
    </row>
    <row r="18" spans="1:47" ht="102.75" x14ac:dyDescent="0.25">
      <c r="A18" s="339" t="s">
        <v>86</v>
      </c>
      <c r="B18" s="116" t="s">
        <v>6795</v>
      </c>
      <c r="C18" s="95">
        <v>599</v>
      </c>
      <c r="D18" s="567" t="s">
        <v>53</v>
      </c>
      <c r="E18" s="567"/>
      <c r="F18" s="95" t="s">
        <v>152</v>
      </c>
      <c r="G18" s="146" t="s">
        <v>1974</v>
      </c>
      <c r="H18" s="108" t="s">
        <v>5684</v>
      </c>
      <c r="I18" s="122" t="s">
        <v>5685</v>
      </c>
      <c r="J18" s="191">
        <v>29</v>
      </c>
      <c r="K18" s="359" t="s">
        <v>259</v>
      </c>
      <c r="L18" s="913">
        <v>1243704.6047</v>
      </c>
      <c r="M18" s="913">
        <v>5103293.7816000003</v>
      </c>
      <c r="N18" s="108"/>
      <c r="O18" s="108">
        <v>24.1</v>
      </c>
      <c r="P18" s="95" t="s">
        <v>5</v>
      </c>
      <c r="Q18" s="108"/>
      <c r="R18" s="108"/>
      <c r="S18" s="108" t="s">
        <v>347</v>
      </c>
      <c r="T18" s="108" t="s">
        <v>450</v>
      </c>
      <c r="U18" s="102" t="s">
        <v>16</v>
      </c>
      <c r="V18" s="24" t="s">
        <v>10</v>
      </c>
      <c r="W18" s="24" t="s">
        <v>16</v>
      </c>
      <c r="X18" s="24" t="s">
        <v>5</v>
      </c>
      <c r="Y18" s="24" t="s">
        <v>260</v>
      </c>
      <c r="Z18" s="46" t="s">
        <v>261</v>
      </c>
      <c r="AA18" s="136">
        <v>4</v>
      </c>
      <c r="AB18" s="117" t="s">
        <v>262</v>
      </c>
      <c r="AC18" s="24">
        <v>18</v>
      </c>
      <c r="AD18" s="24">
        <v>19</v>
      </c>
      <c r="AE18" s="24">
        <v>17</v>
      </c>
      <c r="AF18" s="24"/>
      <c r="AG18" s="351"/>
      <c r="AH18" s="351"/>
      <c r="AI18" s="45" t="s">
        <v>256</v>
      </c>
      <c r="AJ18" s="103" t="s">
        <v>13</v>
      </c>
      <c r="AK18" s="103"/>
      <c r="AL18" s="351"/>
      <c r="AM18" s="351"/>
      <c r="AN18" s="46" t="s">
        <v>447</v>
      </c>
      <c r="AO18" s="46" t="s">
        <v>263</v>
      </c>
      <c r="AP18" s="46" t="s">
        <v>264</v>
      </c>
      <c r="AQ18" s="46" t="s">
        <v>37</v>
      </c>
      <c r="AR18" s="47">
        <v>44022</v>
      </c>
      <c r="AS18" s="46" t="s">
        <v>37</v>
      </c>
      <c r="AT18" s="365"/>
      <c r="AU18" s="1107"/>
    </row>
    <row r="19" spans="1:47" ht="64.5" x14ac:dyDescent="0.25">
      <c r="A19" s="339"/>
      <c r="B19" s="116"/>
      <c r="C19" s="95"/>
      <c r="D19" s="567"/>
      <c r="E19" s="567"/>
      <c r="F19" s="95"/>
      <c r="G19" s="146"/>
      <c r="H19" s="108"/>
      <c r="I19" s="122"/>
      <c r="J19" s="191">
        <v>30</v>
      </c>
      <c r="K19" s="359" t="s">
        <v>268</v>
      </c>
      <c r="L19" s="913">
        <v>1225213.1677999999</v>
      </c>
      <c r="M19" s="913">
        <v>5088419.2810000004</v>
      </c>
      <c r="N19" s="108"/>
      <c r="O19" s="108">
        <v>26.4</v>
      </c>
      <c r="P19" s="95" t="s">
        <v>5</v>
      </c>
      <c r="Q19" s="108"/>
      <c r="R19" s="108"/>
      <c r="S19" s="108" t="s">
        <v>348</v>
      </c>
      <c r="T19" s="108" t="s">
        <v>451</v>
      </c>
      <c r="U19" s="102" t="s">
        <v>16</v>
      </c>
      <c r="V19" s="24" t="s">
        <v>10</v>
      </c>
      <c r="W19" s="24" t="s">
        <v>16</v>
      </c>
      <c r="X19" s="24" t="s">
        <v>5</v>
      </c>
      <c r="Y19" s="24" t="s">
        <v>265</v>
      </c>
      <c r="Z19" s="46" t="s">
        <v>267</v>
      </c>
      <c r="AA19" s="24">
        <v>3</v>
      </c>
      <c r="AB19" s="117" t="s">
        <v>262</v>
      </c>
      <c r="AC19" s="24">
        <v>18</v>
      </c>
      <c r="AD19" s="24">
        <v>19</v>
      </c>
      <c r="AE19" s="24">
        <v>17</v>
      </c>
      <c r="AF19" s="24"/>
      <c r="AG19" s="351"/>
      <c r="AH19" s="351"/>
      <c r="AI19" s="45" t="s">
        <v>256</v>
      </c>
      <c r="AJ19" s="103" t="s">
        <v>13</v>
      </c>
      <c r="AK19" s="103"/>
      <c r="AL19" s="351"/>
      <c r="AM19" s="351"/>
      <c r="AN19" s="46" t="s">
        <v>448</v>
      </c>
      <c r="AO19" s="46" t="s">
        <v>263</v>
      </c>
      <c r="AP19" s="46" t="s">
        <v>264</v>
      </c>
      <c r="AQ19" s="46" t="s">
        <v>37</v>
      </c>
      <c r="AR19" s="47">
        <v>44022</v>
      </c>
      <c r="AS19" s="46" t="s">
        <v>37</v>
      </c>
      <c r="AT19" s="365"/>
      <c r="AU19" s="1107"/>
    </row>
    <row r="20" spans="1:47" ht="64.5" x14ac:dyDescent="0.25">
      <c r="A20" s="339"/>
      <c r="B20" s="116"/>
      <c r="C20" s="95"/>
      <c r="D20" s="567"/>
      <c r="E20" s="567"/>
      <c r="F20" s="95"/>
      <c r="G20" s="146"/>
      <c r="H20" s="108"/>
      <c r="I20" s="122"/>
      <c r="J20" s="191">
        <v>31</v>
      </c>
      <c r="K20" s="359" t="s">
        <v>269</v>
      </c>
      <c r="L20" s="913">
        <v>1224851.2171</v>
      </c>
      <c r="M20" s="913">
        <v>5087993.8300999999</v>
      </c>
      <c r="N20" s="108"/>
      <c r="O20" s="108">
        <v>24.8</v>
      </c>
      <c r="P20" s="95" t="s">
        <v>5</v>
      </c>
      <c r="Q20" s="108"/>
      <c r="R20" s="108"/>
      <c r="S20" s="108" t="s">
        <v>349</v>
      </c>
      <c r="T20" s="108" t="s">
        <v>452</v>
      </c>
      <c r="U20" s="102" t="s">
        <v>16</v>
      </c>
      <c r="V20" s="24" t="s">
        <v>10</v>
      </c>
      <c r="W20" s="24" t="s">
        <v>16</v>
      </c>
      <c r="X20" s="24" t="s">
        <v>5</v>
      </c>
      <c r="Y20" s="24" t="s">
        <v>266</v>
      </c>
      <c r="Z20" s="46" t="s">
        <v>267</v>
      </c>
      <c r="AA20" s="24">
        <v>3</v>
      </c>
      <c r="AB20" s="117" t="s">
        <v>262</v>
      </c>
      <c r="AC20" s="24">
        <v>18</v>
      </c>
      <c r="AD20" s="24">
        <v>19</v>
      </c>
      <c r="AE20" s="24">
        <v>17</v>
      </c>
      <c r="AF20" s="24"/>
      <c r="AG20" s="351"/>
      <c r="AH20" s="351"/>
      <c r="AI20" s="45" t="s">
        <v>256</v>
      </c>
      <c r="AJ20" s="103" t="s">
        <v>13</v>
      </c>
      <c r="AK20" s="103"/>
      <c r="AL20" s="351"/>
      <c r="AM20" s="351"/>
      <c r="AN20" s="46" t="s">
        <v>448</v>
      </c>
      <c r="AO20" s="46" t="s">
        <v>263</v>
      </c>
      <c r="AP20" s="46" t="s">
        <v>264</v>
      </c>
      <c r="AQ20" s="46" t="s">
        <v>37</v>
      </c>
      <c r="AR20" s="47">
        <v>44022</v>
      </c>
      <c r="AS20" s="46" t="s">
        <v>37</v>
      </c>
      <c r="AT20" s="365"/>
      <c r="AU20" s="1107"/>
    </row>
    <row r="21" spans="1:47" ht="64.5" x14ac:dyDescent="0.25">
      <c r="A21" s="339"/>
      <c r="B21" s="116"/>
      <c r="C21" s="95"/>
      <c r="D21" s="567"/>
      <c r="E21" s="567"/>
      <c r="F21" s="95"/>
      <c r="G21" s="146"/>
      <c r="H21" s="108"/>
      <c r="I21" s="122"/>
      <c r="J21" s="191">
        <v>32</v>
      </c>
      <c r="K21" s="359" t="s">
        <v>270</v>
      </c>
      <c r="L21" s="913">
        <v>1215309.0330000001</v>
      </c>
      <c r="M21" s="913">
        <v>5078844.2884</v>
      </c>
      <c r="N21" s="108"/>
      <c r="O21" s="108">
        <v>21.2</v>
      </c>
      <c r="P21" s="95" t="s">
        <v>5</v>
      </c>
      <c r="Q21" s="108"/>
      <c r="R21" s="108"/>
      <c r="S21" s="108" t="s">
        <v>350</v>
      </c>
      <c r="T21" s="108" t="s">
        <v>453</v>
      </c>
      <c r="U21" s="102" t="s">
        <v>16</v>
      </c>
      <c r="V21" s="24" t="s">
        <v>16</v>
      </c>
      <c r="W21" s="24" t="s">
        <v>16</v>
      </c>
      <c r="X21" s="24" t="s">
        <v>5</v>
      </c>
      <c r="Y21" s="24" t="s">
        <v>271</v>
      </c>
      <c r="Z21" s="46" t="s">
        <v>267</v>
      </c>
      <c r="AA21" s="24">
        <v>3</v>
      </c>
      <c r="AB21" s="117" t="s">
        <v>272</v>
      </c>
      <c r="AC21" s="24">
        <v>58</v>
      </c>
      <c r="AD21" s="24">
        <v>53</v>
      </c>
      <c r="AE21" s="24">
        <v>63</v>
      </c>
      <c r="AF21" s="24"/>
      <c r="AG21" s="351"/>
      <c r="AH21" s="351"/>
      <c r="AI21" s="45" t="s">
        <v>256</v>
      </c>
      <c r="AJ21" s="103" t="s">
        <v>13</v>
      </c>
      <c r="AK21" s="103"/>
      <c r="AL21" s="351"/>
      <c r="AM21" s="351"/>
      <c r="AN21" s="46" t="s">
        <v>448</v>
      </c>
      <c r="AO21" s="46" t="s">
        <v>273</v>
      </c>
      <c r="AP21" s="46" t="s">
        <v>264</v>
      </c>
      <c r="AQ21" s="46" t="s">
        <v>37</v>
      </c>
      <c r="AR21" s="47">
        <v>44022</v>
      </c>
      <c r="AS21" s="46" t="s">
        <v>37</v>
      </c>
      <c r="AT21" s="365"/>
      <c r="AU21" s="1107"/>
    </row>
    <row r="22" spans="1:47" ht="64.5" x14ac:dyDescent="0.25">
      <c r="A22" s="339"/>
      <c r="B22" s="116"/>
      <c r="C22" s="95"/>
      <c r="D22" s="567"/>
      <c r="E22" s="567"/>
      <c r="F22" s="95"/>
      <c r="G22" s="146"/>
      <c r="H22" s="108"/>
      <c r="I22" s="122"/>
      <c r="J22" s="191">
        <v>27</v>
      </c>
      <c r="K22" s="359" t="s">
        <v>282</v>
      </c>
      <c r="L22" s="913">
        <v>1210424.1270000001</v>
      </c>
      <c r="M22" s="913">
        <v>5074535.3781000003</v>
      </c>
      <c r="N22" s="108"/>
      <c r="O22" s="108">
        <v>22.7</v>
      </c>
      <c r="P22" s="95" t="s">
        <v>5</v>
      </c>
      <c r="Q22" s="108"/>
      <c r="R22" s="108"/>
      <c r="S22" s="108" t="s">
        <v>351</v>
      </c>
      <c r="T22" s="108" t="s">
        <v>454</v>
      </c>
      <c r="U22" s="102" t="s">
        <v>16</v>
      </c>
      <c r="V22" s="24" t="s">
        <v>16</v>
      </c>
      <c r="W22" s="24" t="s">
        <v>16</v>
      </c>
      <c r="X22" s="24" t="s">
        <v>5</v>
      </c>
      <c r="Y22" s="24" t="s">
        <v>274</v>
      </c>
      <c r="Z22" s="46" t="s">
        <v>255</v>
      </c>
      <c r="AA22" s="24">
        <v>4</v>
      </c>
      <c r="AB22" s="117" t="s">
        <v>262</v>
      </c>
      <c r="AC22" s="24">
        <v>18</v>
      </c>
      <c r="AD22" s="24">
        <v>19</v>
      </c>
      <c r="AE22" s="24">
        <v>17</v>
      </c>
      <c r="AF22" s="24"/>
      <c r="AG22" s="351"/>
      <c r="AH22" s="351"/>
      <c r="AI22" s="45" t="s">
        <v>256</v>
      </c>
      <c r="AJ22" s="103" t="s">
        <v>13</v>
      </c>
      <c r="AK22" s="103"/>
      <c r="AL22" s="351"/>
      <c r="AM22" s="351"/>
      <c r="AN22" s="46" t="s">
        <v>448</v>
      </c>
      <c r="AO22" s="46" t="s">
        <v>263</v>
      </c>
      <c r="AP22" s="46" t="s">
        <v>275</v>
      </c>
      <c r="AQ22" s="46" t="s">
        <v>37</v>
      </c>
      <c r="AR22" s="47">
        <v>44022</v>
      </c>
      <c r="AS22" s="46" t="s">
        <v>37</v>
      </c>
      <c r="AT22" s="365"/>
      <c r="AU22" s="1107"/>
    </row>
    <row r="23" spans="1:47" ht="64.5" x14ac:dyDescent="0.25">
      <c r="A23" s="339"/>
      <c r="B23" s="116"/>
      <c r="C23" s="95"/>
      <c r="D23" s="567"/>
      <c r="E23" s="567"/>
      <c r="F23" s="95"/>
      <c r="G23" s="146"/>
      <c r="H23" s="108"/>
      <c r="I23" s="122"/>
      <c r="J23" s="191">
        <v>33</v>
      </c>
      <c r="K23" s="359" t="s">
        <v>283</v>
      </c>
      <c r="L23" s="913">
        <v>1211044.9473000001</v>
      </c>
      <c r="M23" s="913">
        <v>5075156.01</v>
      </c>
      <c r="N23" s="108"/>
      <c r="O23" s="108">
        <v>24.1</v>
      </c>
      <c r="P23" s="95" t="s">
        <v>5</v>
      </c>
      <c r="Q23" s="108"/>
      <c r="R23" s="108"/>
      <c r="S23" s="108" t="s">
        <v>352</v>
      </c>
      <c r="T23" s="108" t="s">
        <v>455</v>
      </c>
      <c r="U23" s="102" t="s">
        <v>85</v>
      </c>
      <c r="V23" s="24" t="s">
        <v>16</v>
      </c>
      <c r="W23" s="24" t="s">
        <v>85</v>
      </c>
      <c r="X23" s="24" t="s">
        <v>5</v>
      </c>
      <c r="Y23" s="24" t="s">
        <v>278</v>
      </c>
      <c r="Z23" s="46" t="s">
        <v>279</v>
      </c>
      <c r="AA23" s="24">
        <v>3</v>
      </c>
      <c r="AB23" s="117" t="s">
        <v>280</v>
      </c>
      <c r="AC23" s="24">
        <v>79</v>
      </c>
      <c r="AD23" s="24">
        <v>87</v>
      </c>
      <c r="AE23" s="24">
        <v>71</v>
      </c>
      <c r="AF23" s="24"/>
      <c r="AG23" s="351"/>
      <c r="AH23" s="351"/>
      <c r="AI23" s="45" t="s">
        <v>256</v>
      </c>
      <c r="AJ23" s="103" t="s">
        <v>13</v>
      </c>
      <c r="AK23" s="103"/>
      <c r="AL23" s="351"/>
      <c r="AM23" s="351"/>
      <c r="AN23" s="46" t="s">
        <v>448</v>
      </c>
      <c r="AO23" s="46" t="s">
        <v>281</v>
      </c>
      <c r="AP23" s="46" t="s">
        <v>264</v>
      </c>
      <c r="AQ23" s="46" t="s">
        <v>37</v>
      </c>
      <c r="AR23" s="47">
        <v>44022</v>
      </c>
      <c r="AS23" s="46" t="s">
        <v>37</v>
      </c>
      <c r="AT23" s="365"/>
      <c r="AU23" s="1107"/>
    </row>
    <row r="24" spans="1:47" ht="64.5" x14ac:dyDescent="0.25">
      <c r="A24" s="339"/>
      <c r="B24" s="116"/>
      <c r="C24" s="95"/>
      <c r="D24" s="567"/>
      <c r="E24" s="567"/>
      <c r="F24" s="95"/>
      <c r="G24" s="146"/>
      <c r="H24" s="108"/>
      <c r="I24" s="122"/>
      <c r="J24" s="191">
        <v>34</v>
      </c>
      <c r="K24" s="359" t="s">
        <v>286</v>
      </c>
      <c r="L24" s="913">
        <v>1208012.2962</v>
      </c>
      <c r="M24" s="913">
        <v>5072101.4721999997</v>
      </c>
      <c r="N24" s="108"/>
      <c r="O24" s="108">
        <v>21.4</v>
      </c>
      <c r="P24" s="95" t="s">
        <v>5</v>
      </c>
      <c r="Q24" s="108"/>
      <c r="R24" s="108"/>
      <c r="S24" s="108" t="s">
        <v>353</v>
      </c>
      <c r="T24" s="108" t="s">
        <v>456</v>
      </c>
      <c r="U24" s="102" t="s">
        <v>16</v>
      </c>
      <c r="V24" s="24" t="s">
        <v>16</v>
      </c>
      <c r="W24" s="24" t="s">
        <v>16</v>
      </c>
      <c r="X24" s="24" t="s">
        <v>5</v>
      </c>
      <c r="Y24" s="24" t="s">
        <v>276</v>
      </c>
      <c r="Z24" s="46" t="s">
        <v>277</v>
      </c>
      <c r="AA24" s="24">
        <v>3</v>
      </c>
      <c r="AB24" s="117" t="s">
        <v>272</v>
      </c>
      <c r="AC24" s="24">
        <v>58</v>
      </c>
      <c r="AD24" s="24">
        <v>53</v>
      </c>
      <c r="AE24" s="24">
        <v>63</v>
      </c>
      <c r="AF24" s="24"/>
      <c r="AG24" s="351"/>
      <c r="AH24" s="351"/>
      <c r="AI24" s="45" t="s">
        <v>256</v>
      </c>
      <c r="AJ24" s="103" t="s">
        <v>13</v>
      </c>
      <c r="AK24" s="103"/>
      <c r="AL24" s="351"/>
      <c r="AM24" s="351"/>
      <c r="AN24" s="46" t="s">
        <v>448</v>
      </c>
      <c r="AO24" s="46" t="s">
        <v>273</v>
      </c>
      <c r="AP24" s="46" t="s">
        <v>264</v>
      </c>
      <c r="AQ24" s="46" t="s">
        <v>37</v>
      </c>
      <c r="AR24" s="47">
        <v>44022</v>
      </c>
      <c r="AS24" s="46" t="s">
        <v>37</v>
      </c>
      <c r="AT24" s="365"/>
      <c r="AU24" s="1107"/>
    </row>
    <row r="25" spans="1:47" ht="64.5" x14ac:dyDescent="0.25">
      <c r="A25" s="339"/>
      <c r="B25" s="116"/>
      <c r="C25" s="95"/>
      <c r="D25" s="567"/>
      <c r="E25" s="567"/>
      <c r="F25" s="95"/>
      <c r="G25" s="146"/>
      <c r="H25" s="108"/>
      <c r="I25" s="122"/>
      <c r="J25" s="191">
        <v>35</v>
      </c>
      <c r="K25" s="359" t="s">
        <v>284</v>
      </c>
      <c r="L25" s="913">
        <v>1208443.0514</v>
      </c>
      <c r="M25" s="913">
        <v>5072512.7106999997</v>
      </c>
      <c r="N25" s="108"/>
      <c r="O25" s="108">
        <v>22.8</v>
      </c>
      <c r="P25" s="95" t="s">
        <v>5</v>
      </c>
      <c r="Q25" s="108"/>
      <c r="R25" s="108"/>
      <c r="S25" s="108" t="s">
        <v>354</v>
      </c>
      <c r="T25" s="108" t="s">
        <v>457</v>
      </c>
      <c r="U25" s="102" t="s">
        <v>85</v>
      </c>
      <c r="V25" s="24" t="s">
        <v>16</v>
      </c>
      <c r="W25" s="24" t="s">
        <v>85</v>
      </c>
      <c r="X25" s="24" t="s">
        <v>5</v>
      </c>
      <c r="Y25" s="24" t="s">
        <v>285</v>
      </c>
      <c r="Z25" s="46" t="s">
        <v>279</v>
      </c>
      <c r="AA25" s="24">
        <v>1</v>
      </c>
      <c r="AB25" s="117" t="s">
        <v>280</v>
      </c>
      <c r="AC25" s="24">
        <v>79</v>
      </c>
      <c r="AD25" s="24">
        <v>87</v>
      </c>
      <c r="AE25" s="24">
        <v>71</v>
      </c>
      <c r="AF25" s="24"/>
      <c r="AG25" s="351"/>
      <c r="AH25" s="351"/>
      <c r="AI25" s="45" t="s">
        <v>256</v>
      </c>
      <c r="AJ25" s="103" t="s">
        <v>13</v>
      </c>
      <c r="AK25" s="103"/>
      <c r="AL25" s="351"/>
      <c r="AM25" s="351"/>
      <c r="AN25" s="46" t="s">
        <v>448</v>
      </c>
      <c r="AO25" s="46" t="s">
        <v>281</v>
      </c>
      <c r="AP25" s="46" t="s">
        <v>264</v>
      </c>
      <c r="AQ25" s="46" t="s">
        <v>37</v>
      </c>
      <c r="AR25" s="47">
        <v>44022</v>
      </c>
      <c r="AS25" s="46" t="s">
        <v>37</v>
      </c>
      <c r="AT25" s="365"/>
      <c r="AU25" s="1107"/>
    </row>
    <row r="26" spans="1:47" ht="64.5" x14ac:dyDescent="0.25">
      <c r="A26" s="339"/>
      <c r="B26" s="116"/>
      <c r="C26" s="95"/>
      <c r="D26" s="567"/>
      <c r="E26" s="567"/>
      <c r="F26" s="95"/>
      <c r="G26" s="146"/>
      <c r="H26" s="108"/>
      <c r="I26" s="122"/>
      <c r="J26" s="191">
        <v>36</v>
      </c>
      <c r="K26" s="359" t="s">
        <v>287</v>
      </c>
      <c r="L26" s="913">
        <v>1207383.8158</v>
      </c>
      <c r="M26" s="913">
        <v>5071477.8548999997</v>
      </c>
      <c r="N26" s="108"/>
      <c r="O26" s="108">
        <v>23.2</v>
      </c>
      <c r="P26" s="95" t="s">
        <v>5</v>
      </c>
      <c r="Q26" s="108"/>
      <c r="R26" s="108"/>
      <c r="S26" s="108" t="s">
        <v>356</v>
      </c>
      <c r="T26" s="108" t="s">
        <v>458</v>
      </c>
      <c r="U26" s="102" t="s">
        <v>85</v>
      </c>
      <c r="V26" s="24" t="s">
        <v>16</v>
      </c>
      <c r="W26" s="24" t="s">
        <v>85</v>
      </c>
      <c r="X26" s="24" t="s">
        <v>5</v>
      </c>
      <c r="Y26" s="24" t="s">
        <v>288</v>
      </c>
      <c r="Z26" s="46" t="s">
        <v>289</v>
      </c>
      <c r="AA26" s="24">
        <v>3</v>
      </c>
      <c r="AB26" s="117" t="s">
        <v>355</v>
      </c>
      <c r="AC26" s="24">
        <v>22</v>
      </c>
      <c r="AD26" s="24">
        <v>20</v>
      </c>
      <c r="AE26" s="24">
        <v>24</v>
      </c>
      <c r="AF26" s="24"/>
      <c r="AG26" s="351"/>
      <c r="AH26" s="351"/>
      <c r="AI26" s="45" t="s">
        <v>256</v>
      </c>
      <c r="AJ26" s="103" t="s">
        <v>13</v>
      </c>
      <c r="AK26" s="103"/>
      <c r="AL26" s="351"/>
      <c r="AM26" s="351"/>
      <c r="AN26" s="46" t="s">
        <v>448</v>
      </c>
      <c r="AO26" s="46" t="s">
        <v>263</v>
      </c>
      <c r="AP26" s="46" t="s">
        <v>264</v>
      </c>
      <c r="AQ26" s="46" t="s">
        <v>37</v>
      </c>
      <c r="AR26" s="47">
        <v>44025</v>
      </c>
      <c r="AS26" s="46" t="s">
        <v>37</v>
      </c>
      <c r="AT26" s="365"/>
      <c r="AU26" s="1107"/>
    </row>
    <row r="27" spans="1:47" ht="90" x14ac:dyDescent="0.25">
      <c r="A27" s="339"/>
      <c r="B27" s="116"/>
      <c r="C27" s="95"/>
      <c r="D27" s="567"/>
      <c r="E27" s="567"/>
      <c r="F27" s="95"/>
      <c r="G27" s="146"/>
      <c r="H27" s="108"/>
      <c r="I27" s="122"/>
      <c r="J27" s="191">
        <v>28</v>
      </c>
      <c r="K27" s="359" t="s">
        <v>305</v>
      </c>
      <c r="L27" s="913">
        <v>1203834.0911000001</v>
      </c>
      <c r="M27" s="913">
        <v>5068122.3294000002</v>
      </c>
      <c r="N27" s="108"/>
      <c r="O27" s="108" t="s">
        <v>290</v>
      </c>
      <c r="P27" s="108" t="s">
        <v>61</v>
      </c>
      <c r="Q27" s="108"/>
      <c r="R27" s="108"/>
      <c r="S27" s="108" t="s">
        <v>357</v>
      </c>
      <c r="T27" s="108" t="s">
        <v>357</v>
      </c>
      <c r="U27" s="102" t="s">
        <v>85</v>
      </c>
      <c r="V27" s="24" t="s">
        <v>16</v>
      </c>
      <c r="W27" s="24" t="s">
        <v>85</v>
      </c>
      <c r="X27" s="132" t="s">
        <v>61</v>
      </c>
      <c r="Y27" s="117" t="s">
        <v>291</v>
      </c>
      <c r="Z27" s="46" t="s">
        <v>258</v>
      </c>
      <c r="AA27" s="24">
        <v>4</v>
      </c>
      <c r="AB27" s="117" t="s">
        <v>292</v>
      </c>
      <c r="AC27" s="24"/>
      <c r="AD27" s="24"/>
      <c r="AE27" s="24"/>
      <c r="AF27" s="24"/>
      <c r="AG27" s="351"/>
      <c r="AH27" s="351"/>
      <c r="AI27" s="45" t="s">
        <v>174</v>
      </c>
      <c r="AJ27" s="179" t="s">
        <v>257</v>
      </c>
      <c r="AK27" s="103"/>
      <c r="AL27" s="351"/>
      <c r="AM27" s="351"/>
      <c r="AN27" s="46" t="s">
        <v>449</v>
      </c>
      <c r="AO27" s="46" t="s">
        <v>293</v>
      </c>
      <c r="AP27" s="46" t="s">
        <v>294</v>
      </c>
      <c r="AQ27" s="46" t="s">
        <v>37</v>
      </c>
      <c r="AR27" s="47">
        <v>44025</v>
      </c>
      <c r="AS27" s="46" t="s">
        <v>37</v>
      </c>
      <c r="AT27" s="365"/>
      <c r="AU27" s="1107"/>
    </row>
    <row r="28" spans="1:47" ht="64.5" x14ac:dyDescent="0.25">
      <c r="A28" s="339"/>
      <c r="B28" s="116"/>
      <c r="C28" s="95"/>
      <c r="D28" s="567"/>
      <c r="E28" s="567"/>
      <c r="F28" s="95"/>
      <c r="G28" s="146"/>
      <c r="H28" s="108"/>
      <c r="I28" s="122"/>
      <c r="J28" s="191">
        <v>37</v>
      </c>
      <c r="K28" s="359" t="s">
        <v>295</v>
      </c>
      <c r="L28" s="913">
        <v>1197261.5488</v>
      </c>
      <c r="M28" s="913">
        <v>5062510.4732999997</v>
      </c>
      <c r="N28" s="108"/>
      <c r="O28" s="108">
        <v>24.4</v>
      </c>
      <c r="P28" s="95" t="s">
        <v>5</v>
      </c>
      <c r="Q28" s="108"/>
      <c r="R28" s="108"/>
      <c r="S28" s="108" t="s">
        <v>358</v>
      </c>
      <c r="T28" s="108" t="s">
        <v>459</v>
      </c>
      <c r="U28" s="102" t="s">
        <v>16</v>
      </c>
      <c r="V28" s="24" t="s">
        <v>16</v>
      </c>
      <c r="W28" s="24" t="s">
        <v>16</v>
      </c>
      <c r="X28" s="24" t="s">
        <v>5</v>
      </c>
      <c r="Y28" s="24" t="s">
        <v>296</v>
      </c>
      <c r="Z28" s="46" t="s">
        <v>267</v>
      </c>
      <c r="AA28" s="24">
        <v>3</v>
      </c>
      <c r="AB28" s="117" t="s">
        <v>262</v>
      </c>
      <c r="AC28" s="24">
        <v>18</v>
      </c>
      <c r="AD28" s="24">
        <v>19</v>
      </c>
      <c r="AE28" s="24">
        <v>17</v>
      </c>
      <c r="AF28" s="24"/>
      <c r="AG28" s="351"/>
      <c r="AH28" s="351"/>
      <c r="AI28" s="45" t="s">
        <v>256</v>
      </c>
      <c r="AJ28" s="103" t="s">
        <v>13</v>
      </c>
      <c r="AK28" s="103"/>
      <c r="AL28" s="351"/>
      <c r="AM28" s="351"/>
      <c r="AN28" s="46" t="s">
        <v>448</v>
      </c>
      <c r="AO28" s="46" t="s">
        <v>263</v>
      </c>
      <c r="AP28" s="46" t="s">
        <v>264</v>
      </c>
      <c r="AQ28" s="46" t="s">
        <v>37</v>
      </c>
      <c r="AR28" s="47">
        <v>44025</v>
      </c>
      <c r="AS28" s="46" t="s">
        <v>37</v>
      </c>
      <c r="AT28" s="365"/>
      <c r="AU28" s="1107"/>
    </row>
    <row r="29" spans="1:47" ht="64.5" x14ac:dyDescent="0.25">
      <c r="A29" s="339"/>
      <c r="B29" s="116"/>
      <c r="C29" s="95"/>
      <c r="D29" s="567"/>
      <c r="E29" s="567"/>
      <c r="F29" s="95"/>
      <c r="G29" s="146"/>
      <c r="H29" s="108"/>
      <c r="I29" s="122"/>
      <c r="J29" s="191">
        <v>38</v>
      </c>
      <c r="K29" s="359" t="s">
        <v>297</v>
      </c>
      <c r="L29" s="913">
        <v>1193394.7511</v>
      </c>
      <c r="M29" s="913">
        <v>5059104.4534999998</v>
      </c>
      <c r="N29" s="108"/>
      <c r="O29" s="108">
        <v>21.7</v>
      </c>
      <c r="P29" s="95" t="s">
        <v>5</v>
      </c>
      <c r="Q29" s="108"/>
      <c r="R29" s="108"/>
      <c r="S29" s="108" t="s">
        <v>359</v>
      </c>
      <c r="T29" s="108" t="s">
        <v>460</v>
      </c>
      <c r="U29" s="102" t="s">
        <v>16</v>
      </c>
      <c r="V29" s="24" t="s">
        <v>16</v>
      </c>
      <c r="W29" s="24" t="s">
        <v>16</v>
      </c>
      <c r="X29" s="24" t="s">
        <v>5</v>
      </c>
      <c r="Y29" s="24" t="s">
        <v>299</v>
      </c>
      <c r="Z29" s="46" t="s">
        <v>267</v>
      </c>
      <c r="AA29" s="24">
        <v>3</v>
      </c>
      <c r="AB29" s="117" t="s">
        <v>262</v>
      </c>
      <c r="AC29" s="24">
        <v>18</v>
      </c>
      <c r="AD29" s="24">
        <v>19</v>
      </c>
      <c r="AE29" s="24">
        <v>17</v>
      </c>
      <c r="AF29" s="24"/>
      <c r="AG29" s="351"/>
      <c r="AH29" s="351"/>
      <c r="AI29" s="45" t="s">
        <v>256</v>
      </c>
      <c r="AJ29" s="103" t="s">
        <v>13</v>
      </c>
      <c r="AK29" s="103"/>
      <c r="AL29" s="351"/>
      <c r="AM29" s="351"/>
      <c r="AN29" s="46" t="s">
        <v>448</v>
      </c>
      <c r="AO29" s="46" t="s">
        <v>263</v>
      </c>
      <c r="AP29" s="46" t="s">
        <v>264</v>
      </c>
      <c r="AQ29" s="46" t="s">
        <v>37</v>
      </c>
      <c r="AR29" s="47">
        <v>44025</v>
      </c>
      <c r="AS29" s="46" t="s">
        <v>37</v>
      </c>
      <c r="AT29" s="365"/>
      <c r="AU29" s="1107"/>
    </row>
    <row r="30" spans="1:47" ht="65.25" thickBot="1" x14ac:dyDescent="0.3">
      <c r="A30" s="339"/>
      <c r="B30" s="116"/>
      <c r="C30" s="95"/>
      <c r="D30" s="567"/>
      <c r="E30" s="567"/>
      <c r="F30" s="95"/>
      <c r="G30" s="146"/>
      <c r="H30" s="108"/>
      <c r="I30" s="122"/>
      <c r="J30" s="191">
        <v>39</v>
      </c>
      <c r="K30" s="359" t="s">
        <v>298</v>
      </c>
      <c r="L30" s="913">
        <v>1191395.8189000001</v>
      </c>
      <c r="M30" s="913">
        <v>5057774.2927000001</v>
      </c>
      <c r="N30" s="108"/>
      <c r="O30" s="108">
        <v>25.2</v>
      </c>
      <c r="P30" s="95" t="s">
        <v>5</v>
      </c>
      <c r="Q30" s="108"/>
      <c r="R30" s="108"/>
      <c r="S30" s="108" t="s">
        <v>360</v>
      </c>
      <c r="T30" s="108" t="s">
        <v>461</v>
      </c>
      <c r="U30" s="102" t="s">
        <v>16</v>
      </c>
      <c r="V30" s="24" t="s">
        <v>16</v>
      </c>
      <c r="W30" s="24" t="s">
        <v>16</v>
      </c>
      <c r="X30" s="24" t="s">
        <v>5</v>
      </c>
      <c r="Y30" s="24" t="s">
        <v>300</v>
      </c>
      <c r="Z30" s="46" t="s">
        <v>267</v>
      </c>
      <c r="AA30" s="24">
        <v>3</v>
      </c>
      <c r="AB30" s="117" t="s">
        <v>262</v>
      </c>
      <c r="AC30" s="24">
        <v>18</v>
      </c>
      <c r="AD30" s="24">
        <v>19</v>
      </c>
      <c r="AE30" s="24">
        <v>17</v>
      </c>
      <c r="AF30" s="24"/>
      <c r="AG30" s="351"/>
      <c r="AH30" s="351"/>
      <c r="AI30" s="45" t="s">
        <v>256</v>
      </c>
      <c r="AJ30" s="103" t="s">
        <v>13</v>
      </c>
      <c r="AK30" s="103"/>
      <c r="AL30" s="351"/>
      <c r="AM30" s="351"/>
      <c r="AN30" s="46" t="s">
        <v>448</v>
      </c>
      <c r="AO30" s="46" t="s">
        <v>263</v>
      </c>
      <c r="AP30" s="46" t="s">
        <v>264</v>
      </c>
      <c r="AQ30" s="46" t="s">
        <v>37</v>
      </c>
      <c r="AR30" s="47">
        <v>44025</v>
      </c>
      <c r="AS30" s="46" t="s">
        <v>37</v>
      </c>
      <c r="AT30" s="365"/>
      <c r="AU30" s="1107"/>
    </row>
    <row r="31" spans="1:47" ht="64.5" x14ac:dyDescent="0.25">
      <c r="A31" s="339"/>
      <c r="B31" s="116"/>
      <c r="C31" s="95"/>
      <c r="D31" s="567"/>
      <c r="E31" s="567"/>
      <c r="F31" s="95"/>
      <c r="G31" s="146"/>
      <c r="H31" s="108"/>
      <c r="I31" s="122"/>
      <c r="J31" s="191">
        <v>40</v>
      </c>
      <c r="K31" s="359" t="s">
        <v>301</v>
      </c>
      <c r="L31" s="913">
        <v>1189019.3864</v>
      </c>
      <c r="M31" s="913">
        <v>5055955.8294000002</v>
      </c>
      <c r="N31" s="108"/>
      <c r="O31" s="108" t="s">
        <v>309</v>
      </c>
      <c r="P31" s="95" t="s">
        <v>5</v>
      </c>
      <c r="Q31" s="108"/>
      <c r="R31" s="108"/>
      <c r="S31" s="108"/>
      <c r="T31" s="184" t="s">
        <v>462</v>
      </c>
      <c r="U31" s="101" t="s">
        <v>16</v>
      </c>
      <c r="V31" s="31" t="s">
        <v>16</v>
      </c>
      <c r="W31" s="31" t="s">
        <v>16</v>
      </c>
      <c r="X31" s="31" t="s">
        <v>5</v>
      </c>
      <c r="Y31" s="31" t="s">
        <v>692</v>
      </c>
      <c r="Z31" s="40" t="s">
        <v>310</v>
      </c>
      <c r="AA31" s="31">
        <v>1</v>
      </c>
      <c r="AB31" s="31" t="s">
        <v>311</v>
      </c>
      <c r="AC31" s="492">
        <v>270</v>
      </c>
      <c r="AD31" s="31">
        <v>250</v>
      </c>
      <c r="AE31" s="31">
        <v>290</v>
      </c>
      <c r="AF31" s="31"/>
      <c r="AG31" s="372"/>
      <c r="AH31" s="372"/>
      <c r="AI31" s="30" t="s">
        <v>256</v>
      </c>
      <c r="AJ31" s="130" t="s">
        <v>312</v>
      </c>
      <c r="AK31" s="130"/>
      <c r="AL31" s="372"/>
      <c r="AM31" s="372"/>
      <c r="AN31" s="40" t="s">
        <v>463</v>
      </c>
      <c r="AO31" s="40" t="s">
        <v>313</v>
      </c>
      <c r="AP31" s="40" t="s">
        <v>314</v>
      </c>
      <c r="AQ31" s="40" t="s">
        <v>37</v>
      </c>
      <c r="AR31" s="41">
        <v>44027</v>
      </c>
      <c r="AS31" s="40" t="s">
        <v>37</v>
      </c>
      <c r="AT31" s="54"/>
      <c r="AU31" s="652"/>
    </row>
    <row r="32" spans="1:47" ht="64.5" x14ac:dyDescent="0.25">
      <c r="A32" s="339"/>
      <c r="B32" s="116"/>
      <c r="C32" s="95"/>
      <c r="D32" s="567"/>
      <c r="E32" s="567"/>
      <c r="F32" s="95"/>
      <c r="G32" s="146"/>
      <c r="H32" s="108"/>
      <c r="I32" s="122"/>
      <c r="J32" s="191">
        <v>41</v>
      </c>
      <c r="K32" s="359" t="s">
        <v>302</v>
      </c>
      <c r="L32" s="913">
        <v>1195357.0220999999</v>
      </c>
      <c r="M32" s="913">
        <v>5060860.3332000002</v>
      </c>
      <c r="N32" s="108"/>
      <c r="O32" s="108" t="s">
        <v>309</v>
      </c>
      <c r="P32" s="95" t="s">
        <v>5</v>
      </c>
      <c r="Q32" s="108"/>
      <c r="R32" s="108"/>
      <c r="S32" s="108"/>
      <c r="T32" s="184" t="s">
        <v>462</v>
      </c>
      <c r="U32" s="102" t="s">
        <v>16</v>
      </c>
      <c r="V32" s="24" t="s">
        <v>16</v>
      </c>
      <c r="W32" s="24" t="s">
        <v>16</v>
      </c>
      <c r="X32" s="24" t="s">
        <v>5</v>
      </c>
      <c r="Y32" s="24" t="s">
        <v>692</v>
      </c>
      <c r="Z32" s="46" t="s">
        <v>310</v>
      </c>
      <c r="AA32" s="24">
        <v>1</v>
      </c>
      <c r="AB32" s="24" t="s">
        <v>311</v>
      </c>
      <c r="AC32" s="493">
        <v>270</v>
      </c>
      <c r="AD32" s="24">
        <v>250</v>
      </c>
      <c r="AE32" s="24">
        <v>290</v>
      </c>
      <c r="AF32" s="24"/>
      <c r="AG32" s="351"/>
      <c r="AH32" s="351"/>
      <c r="AI32" s="45" t="s">
        <v>256</v>
      </c>
      <c r="AJ32" s="103" t="s">
        <v>312</v>
      </c>
      <c r="AK32" s="103"/>
      <c r="AL32" s="351"/>
      <c r="AM32" s="351"/>
      <c r="AN32" s="46" t="s">
        <v>463</v>
      </c>
      <c r="AO32" s="46" t="s">
        <v>313</v>
      </c>
      <c r="AP32" s="46" t="s">
        <v>314</v>
      </c>
      <c r="AQ32" s="46" t="s">
        <v>37</v>
      </c>
      <c r="AR32" s="47">
        <v>44027</v>
      </c>
      <c r="AS32" s="46" t="s">
        <v>37</v>
      </c>
      <c r="AT32" s="365"/>
      <c r="AU32" s="1107"/>
    </row>
    <row r="33" spans="1:47" ht="64.5" x14ac:dyDescent="0.25">
      <c r="A33" s="339"/>
      <c r="B33" s="116"/>
      <c r="C33" s="95"/>
      <c r="D33" s="567"/>
      <c r="E33" s="567"/>
      <c r="F33" s="95"/>
      <c r="G33" s="146"/>
      <c r="H33" s="108"/>
      <c r="I33" s="122"/>
      <c r="J33" s="191">
        <v>42</v>
      </c>
      <c r="K33" s="359" t="s">
        <v>303</v>
      </c>
      <c r="L33" s="913">
        <v>1201468.2748</v>
      </c>
      <c r="M33" s="913">
        <v>5065855.4039000003</v>
      </c>
      <c r="N33" s="108"/>
      <c r="O33" s="108" t="s">
        <v>309</v>
      </c>
      <c r="P33" s="95" t="s">
        <v>5</v>
      </c>
      <c r="Q33" s="108"/>
      <c r="R33" s="108"/>
      <c r="S33" s="108"/>
      <c r="T33" s="184" t="s">
        <v>462</v>
      </c>
      <c r="U33" s="102" t="s">
        <v>16</v>
      </c>
      <c r="V33" s="24" t="s">
        <v>16</v>
      </c>
      <c r="W33" s="24" t="s">
        <v>16</v>
      </c>
      <c r="X33" s="24" t="s">
        <v>5</v>
      </c>
      <c r="Y33" s="24" t="s">
        <v>692</v>
      </c>
      <c r="Z33" s="46" t="s">
        <v>310</v>
      </c>
      <c r="AA33" s="24">
        <v>1</v>
      </c>
      <c r="AB33" s="24" t="s">
        <v>311</v>
      </c>
      <c r="AC33" s="493">
        <v>270</v>
      </c>
      <c r="AD33" s="24">
        <v>250</v>
      </c>
      <c r="AE33" s="24">
        <v>290</v>
      </c>
      <c r="AF33" s="24"/>
      <c r="AG33" s="351"/>
      <c r="AH33" s="351"/>
      <c r="AI33" s="45" t="s">
        <v>256</v>
      </c>
      <c r="AJ33" s="103" t="s">
        <v>312</v>
      </c>
      <c r="AK33" s="103"/>
      <c r="AL33" s="351"/>
      <c r="AM33" s="351"/>
      <c r="AN33" s="46" t="s">
        <v>463</v>
      </c>
      <c r="AO33" s="46" t="s">
        <v>313</v>
      </c>
      <c r="AP33" s="46" t="s">
        <v>314</v>
      </c>
      <c r="AQ33" s="46" t="s">
        <v>37</v>
      </c>
      <c r="AR33" s="47">
        <v>44027</v>
      </c>
      <c r="AS33" s="46" t="s">
        <v>37</v>
      </c>
      <c r="AT33" s="365"/>
      <c r="AU33" s="1107"/>
    </row>
    <row r="34" spans="1:47" ht="64.5" x14ac:dyDescent="0.25">
      <c r="A34" s="339"/>
      <c r="B34" s="116"/>
      <c r="C34" s="95"/>
      <c r="D34" s="567"/>
      <c r="E34" s="567"/>
      <c r="F34" s="95"/>
      <c r="G34" s="146"/>
      <c r="H34" s="108"/>
      <c r="I34" s="122"/>
      <c r="J34" s="191">
        <v>43</v>
      </c>
      <c r="K34" s="359" t="s">
        <v>304</v>
      </c>
      <c r="L34" s="913">
        <v>1209790.6039</v>
      </c>
      <c r="M34" s="913">
        <v>5073872.1081999997</v>
      </c>
      <c r="N34" s="108"/>
      <c r="O34" s="108" t="s">
        <v>309</v>
      </c>
      <c r="P34" s="95" t="s">
        <v>5</v>
      </c>
      <c r="Q34" s="108"/>
      <c r="R34" s="108"/>
      <c r="S34" s="108"/>
      <c r="T34" s="184" t="s">
        <v>462</v>
      </c>
      <c r="U34" s="102" t="s">
        <v>16</v>
      </c>
      <c r="V34" s="24" t="s">
        <v>16</v>
      </c>
      <c r="W34" s="24" t="s">
        <v>16</v>
      </c>
      <c r="X34" s="24" t="s">
        <v>5</v>
      </c>
      <c r="Y34" s="24" t="s">
        <v>692</v>
      </c>
      <c r="Z34" s="46" t="s">
        <v>310</v>
      </c>
      <c r="AA34" s="24">
        <v>1</v>
      </c>
      <c r="AB34" s="24" t="s">
        <v>311</v>
      </c>
      <c r="AC34" s="493">
        <v>270</v>
      </c>
      <c r="AD34" s="24">
        <v>250</v>
      </c>
      <c r="AE34" s="24">
        <v>290</v>
      </c>
      <c r="AF34" s="24"/>
      <c r="AG34" s="351"/>
      <c r="AH34" s="351"/>
      <c r="AI34" s="45" t="s">
        <v>256</v>
      </c>
      <c r="AJ34" s="103" t="s">
        <v>312</v>
      </c>
      <c r="AK34" s="103"/>
      <c r="AL34" s="351"/>
      <c r="AM34" s="351"/>
      <c r="AN34" s="46" t="s">
        <v>463</v>
      </c>
      <c r="AO34" s="46" t="s">
        <v>313</v>
      </c>
      <c r="AP34" s="46" t="s">
        <v>314</v>
      </c>
      <c r="AQ34" s="46" t="s">
        <v>37</v>
      </c>
      <c r="AR34" s="47">
        <v>44027</v>
      </c>
      <c r="AS34" s="46" t="s">
        <v>37</v>
      </c>
      <c r="AT34" s="365"/>
      <c r="AU34" s="1107"/>
    </row>
    <row r="35" spans="1:47" ht="64.5" x14ac:dyDescent="0.25">
      <c r="A35" s="339"/>
      <c r="B35" s="116"/>
      <c r="C35" s="95"/>
      <c r="D35" s="567"/>
      <c r="E35" s="567"/>
      <c r="F35" s="95"/>
      <c r="G35" s="146"/>
      <c r="H35" s="108"/>
      <c r="I35" s="122"/>
      <c r="J35" s="191">
        <v>44</v>
      </c>
      <c r="K35" s="359" t="s">
        <v>306</v>
      </c>
      <c r="L35" s="913">
        <v>1219777.8186000001</v>
      </c>
      <c r="M35" s="913">
        <v>5083119.3480000002</v>
      </c>
      <c r="N35" s="108"/>
      <c r="O35" s="108" t="s">
        <v>309</v>
      </c>
      <c r="P35" s="95" t="s">
        <v>5</v>
      </c>
      <c r="Q35" s="108"/>
      <c r="R35" s="108"/>
      <c r="S35" s="108"/>
      <c r="T35" s="184" t="s">
        <v>462</v>
      </c>
      <c r="U35" s="102" t="s">
        <v>16</v>
      </c>
      <c r="V35" s="24" t="s">
        <v>16</v>
      </c>
      <c r="W35" s="24" t="s">
        <v>16</v>
      </c>
      <c r="X35" s="24" t="s">
        <v>5</v>
      </c>
      <c r="Y35" s="24" t="s">
        <v>692</v>
      </c>
      <c r="Z35" s="46" t="s">
        <v>310</v>
      </c>
      <c r="AA35" s="24">
        <v>1</v>
      </c>
      <c r="AB35" s="24" t="s">
        <v>311</v>
      </c>
      <c r="AC35" s="493">
        <v>270</v>
      </c>
      <c r="AD35" s="24">
        <v>250</v>
      </c>
      <c r="AE35" s="24">
        <v>290</v>
      </c>
      <c r="AF35" s="24"/>
      <c r="AG35" s="351"/>
      <c r="AH35" s="351"/>
      <c r="AI35" s="45" t="s">
        <v>256</v>
      </c>
      <c r="AJ35" s="103" t="s">
        <v>312</v>
      </c>
      <c r="AK35" s="103"/>
      <c r="AL35" s="351"/>
      <c r="AM35" s="351"/>
      <c r="AN35" s="46" t="s">
        <v>463</v>
      </c>
      <c r="AO35" s="46" t="s">
        <v>313</v>
      </c>
      <c r="AP35" s="46" t="s">
        <v>314</v>
      </c>
      <c r="AQ35" s="46" t="s">
        <v>37</v>
      </c>
      <c r="AR35" s="47">
        <v>44027</v>
      </c>
      <c r="AS35" s="46" t="s">
        <v>37</v>
      </c>
      <c r="AT35" s="365"/>
      <c r="AU35" s="1107"/>
    </row>
    <row r="36" spans="1:47" ht="64.5" x14ac:dyDescent="0.25">
      <c r="A36" s="339"/>
      <c r="B36" s="116"/>
      <c r="C36" s="95"/>
      <c r="D36" s="567"/>
      <c r="E36" s="567"/>
      <c r="F36" s="95"/>
      <c r="G36" s="146"/>
      <c r="H36" s="108"/>
      <c r="I36" s="122"/>
      <c r="J36" s="191">
        <v>45</v>
      </c>
      <c r="K36" s="359" t="s">
        <v>307</v>
      </c>
      <c r="L36" s="913">
        <v>1240054.4294</v>
      </c>
      <c r="M36" s="913">
        <v>5099754.5705000004</v>
      </c>
      <c r="N36" s="108"/>
      <c r="O36" s="108" t="s">
        <v>309</v>
      </c>
      <c r="P36" s="95" t="s">
        <v>5</v>
      </c>
      <c r="Q36" s="108"/>
      <c r="R36" s="108"/>
      <c r="S36" s="108"/>
      <c r="T36" s="184" t="s">
        <v>462</v>
      </c>
      <c r="U36" s="102" t="s">
        <v>16</v>
      </c>
      <c r="V36" s="24" t="s">
        <v>16</v>
      </c>
      <c r="W36" s="24" t="s">
        <v>16</v>
      </c>
      <c r="X36" s="24" t="s">
        <v>5</v>
      </c>
      <c r="Y36" s="24" t="s">
        <v>692</v>
      </c>
      <c r="Z36" s="46" t="s">
        <v>310</v>
      </c>
      <c r="AA36" s="24">
        <v>1</v>
      </c>
      <c r="AB36" s="24" t="s">
        <v>311</v>
      </c>
      <c r="AC36" s="493">
        <v>270</v>
      </c>
      <c r="AD36" s="24">
        <v>250</v>
      </c>
      <c r="AE36" s="24">
        <v>290</v>
      </c>
      <c r="AF36" s="24"/>
      <c r="AG36" s="351"/>
      <c r="AH36" s="351"/>
      <c r="AI36" s="45" t="s">
        <v>256</v>
      </c>
      <c r="AJ36" s="103" t="s">
        <v>312</v>
      </c>
      <c r="AK36" s="103"/>
      <c r="AL36" s="351"/>
      <c r="AM36" s="351"/>
      <c r="AN36" s="46" t="s">
        <v>463</v>
      </c>
      <c r="AO36" s="46" t="s">
        <v>313</v>
      </c>
      <c r="AP36" s="46" t="s">
        <v>314</v>
      </c>
      <c r="AQ36" s="46" t="s">
        <v>37</v>
      </c>
      <c r="AR36" s="47">
        <v>44027</v>
      </c>
      <c r="AS36" s="46" t="s">
        <v>37</v>
      </c>
      <c r="AT36" s="365"/>
      <c r="AU36" s="1107"/>
    </row>
    <row r="37" spans="1:47" ht="51.75" x14ac:dyDescent="0.25">
      <c r="A37" s="339"/>
      <c r="B37" s="116"/>
      <c r="C37" s="95"/>
      <c r="D37" s="567"/>
      <c r="E37" s="567"/>
      <c r="F37" s="95"/>
      <c r="G37" s="146"/>
      <c r="H37" s="108"/>
      <c r="I37" s="122"/>
      <c r="J37" s="191">
        <v>47</v>
      </c>
      <c r="K37" s="359" t="s">
        <v>326</v>
      </c>
      <c r="L37" s="913">
        <v>1183152</v>
      </c>
      <c r="M37" s="913">
        <v>5051022</v>
      </c>
      <c r="N37" s="108"/>
      <c r="O37" s="108">
        <v>27.6</v>
      </c>
      <c r="P37" s="95" t="s">
        <v>5</v>
      </c>
      <c r="Q37" s="108"/>
      <c r="R37" s="108"/>
      <c r="S37" s="108" t="s">
        <v>361</v>
      </c>
      <c r="T37" s="108" t="s">
        <v>361</v>
      </c>
      <c r="U37" s="102" t="s">
        <v>10</v>
      </c>
      <c r="V37" s="24" t="s">
        <v>16</v>
      </c>
      <c r="W37" s="24" t="s">
        <v>16</v>
      </c>
      <c r="X37" s="24" t="s">
        <v>5</v>
      </c>
      <c r="Y37" s="24" t="s">
        <v>332</v>
      </c>
      <c r="Z37" s="46" t="s">
        <v>277</v>
      </c>
      <c r="AA37" s="24">
        <v>1</v>
      </c>
      <c r="AB37" s="24" t="s">
        <v>342</v>
      </c>
      <c r="AC37" s="24">
        <v>17</v>
      </c>
      <c r="AD37" s="24">
        <v>15</v>
      </c>
      <c r="AE37" s="24">
        <v>19</v>
      </c>
      <c r="AF37" s="24"/>
      <c r="AG37" s="351"/>
      <c r="AH37" s="351"/>
      <c r="AI37" s="45" t="s">
        <v>550</v>
      </c>
      <c r="AJ37" s="103" t="s">
        <v>13</v>
      </c>
      <c r="AK37" s="103"/>
      <c r="AL37" s="351"/>
      <c r="AM37" s="351"/>
      <c r="AN37" s="45" t="s">
        <v>464</v>
      </c>
      <c r="AO37" s="46" t="s">
        <v>343</v>
      </c>
      <c r="AP37" s="46" t="s">
        <v>344</v>
      </c>
      <c r="AQ37" s="46" t="s">
        <v>37</v>
      </c>
      <c r="AR37" s="47">
        <v>44029</v>
      </c>
      <c r="AS37" s="46" t="s">
        <v>37</v>
      </c>
      <c r="AT37" s="365"/>
      <c r="AU37" s="1107"/>
    </row>
    <row r="38" spans="1:47" ht="51.75" x14ac:dyDescent="0.25">
      <c r="A38" s="339"/>
      <c r="B38" s="116"/>
      <c r="C38" s="95"/>
      <c r="D38" s="567"/>
      <c r="E38" s="567"/>
      <c r="F38" s="95"/>
      <c r="G38" s="146"/>
      <c r="H38" s="108"/>
      <c r="I38" s="122"/>
      <c r="J38" s="191">
        <v>48</v>
      </c>
      <c r="K38" s="359" t="s">
        <v>327</v>
      </c>
      <c r="L38" s="913">
        <v>1179603</v>
      </c>
      <c r="M38" s="913">
        <v>5048375</v>
      </c>
      <c r="N38" s="108"/>
      <c r="O38" s="108">
        <v>25.8</v>
      </c>
      <c r="P38" s="95" t="s">
        <v>5</v>
      </c>
      <c r="Q38" s="108"/>
      <c r="R38" s="108"/>
      <c r="S38" s="108" t="s">
        <v>362</v>
      </c>
      <c r="T38" s="108" t="s">
        <v>465</v>
      </c>
      <c r="U38" s="102" t="s">
        <v>10</v>
      </c>
      <c r="V38" s="24" t="s">
        <v>16</v>
      </c>
      <c r="W38" s="24" t="s">
        <v>16</v>
      </c>
      <c r="X38" s="24" t="s">
        <v>5</v>
      </c>
      <c r="Y38" s="24" t="s">
        <v>333</v>
      </c>
      <c r="Z38" s="46" t="s">
        <v>277</v>
      </c>
      <c r="AA38" s="24">
        <v>1</v>
      </c>
      <c r="AB38" s="24" t="s">
        <v>342</v>
      </c>
      <c r="AC38" s="24">
        <v>17</v>
      </c>
      <c r="AD38" s="24">
        <v>15</v>
      </c>
      <c r="AE38" s="24">
        <v>19</v>
      </c>
      <c r="AF38" s="24"/>
      <c r="AG38" s="351"/>
      <c r="AH38" s="351"/>
      <c r="AI38" s="45" t="s">
        <v>550</v>
      </c>
      <c r="AJ38" s="103" t="s">
        <v>13</v>
      </c>
      <c r="AK38" s="103"/>
      <c r="AL38" s="351"/>
      <c r="AM38" s="351"/>
      <c r="AN38" s="45" t="s">
        <v>464</v>
      </c>
      <c r="AO38" s="46" t="s">
        <v>343</v>
      </c>
      <c r="AP38" s="46" t="s">
        <v>344</v>
      </c>
      <c r="AQ38" s="46" t="s">
        <v>37</v>
      </c>
      <c r="AR38" s="47">
        <v>44029</v>
      </c>
      <c r="AS38" s="46" t="s">
        <v>37</v>
      </c>
      <c r="AT38" s="365"/>
      <c r="AU38" s="1107"/>
    </row>
    <row r="39" spans="1:47" ht="51.75" x14ac:dyDescent="0.25">
      <c r="A39" s="339"/>
      <c r="B39" s="116"/>
      <c r="C39" s="95"/>
      <c r="D39" s="567"/>
      <c r="E39" s="567"/>
      <c r="F39" s="95"/>
      <c r="G39" s="146"/>
      <c r="H39" s="108"/>
      <c r="I39" s="122"/>
      <c r="J39" s="191">
        <v>49</v>
      </c>
      <c r="K39" s="359" t="s">
        <v>328</v>
      </c>
      <c r="L39" s="913">
        <v>1173559</v>
      </c>
      <c r="M39" s="913">
        <v>5043330</v>
      </c>
      <c r="N39" s="108"/>
      <c r="O39" s="108">
        <v>27.4</v>
      </c>
      <c r="P39" s="95" t="s">
        <v>5</v>
      </c>
      <c r="Q39" s="108"/>
      <c r="R39" s="108"/>
      <c r="S39" s="108" t="s">
        <v>363</v>
      </c>
      <c r="T39" s="108" t="s">
        <v>466</v>
      </c>
      <c r="U39" s="102" t="s">
        <v>10</v>
      </c>
      <c r="V39" s="24" t="s">
        <v>16</v>
      </c>
      <c r="W39" s="24" t="s">
        <v>16</v>
      </c>
      <c r="X39" s="24" t="s">
        <v>5</v>
      </c>
      <c r="Y39" s="24" t="s">
        <v>334</v>
      </c>
      <c r="Z39" s="46" t="s">
        <v>277</v>
      </c>
      <c r="AA39" s="24">
        <v>1</v>
      </c>
      <c r="AB39" s="24" t="s">
        <v>342</v>
      </c>
      <c r="AC39" s="24">
        <v>17</v>
      </c>
      <c r="AD39" s="24">
        <v>15</v>
      </c>
      <c r="AE39" s="24">
        <v>19</v>
      </c>
      <c r="AF39" s="24"/>
      <c r="AG39" s="351"/>
      <c r="AH39" s="351"/>
      <c r="AI39" s="45" t="s">
        <v>550</v>
      </c>
      <c r="AJ39" s="103" t="s">
        <v>13</v>
      </c>
      <c r="AK39" s="103"/>
      <c r="AL39" s="351"/>
      <c r="AM39" s="351"/>
      <c r="AN39" s="45" t="s">
        <v>464</v>
      </c>
      <c r="AO39" s="46" t="s">
        <v>343</v>
      </c>
      <c r="AP39" s="46" t="s">
        <v>344</v>
      </c>
      <c r="AQ39" s="46" t="s">
        <v>37</v>
      </c>
      <c r="AR39" s="47">
        <v>44029</v>
      </c>
      <c r="AS39" s="46" t="s">
        <v>37</v>
      </c>
      <c r="AT39" s="365"/>
      <c r="AU39" s="1107"/>
    </row>
    <row r="40" spans="1:47" ht="66" customHeight="1" thickBot="1" x14ac:dyDescent="0.3">
      <c r="A40" s="339"/>
      <c r="B40" s="116"/>
      <c r="C40" s="95"/>
      <c r="D40" s="567"/>
      <c r="E40" s="567"/>
      <c r="F40" s="95"/>
      <c r="G40" s="146"/>
      <c r="H40" s="108"/>
      <c r="I40" s="122"/>
      <c r="J40" s="191">
        <v>50</v>
      </c>
      <c r="K40" s="359" t="s">
        <v>329</v>
      </c>
      <c r="L40" s="913">
        <v>1168412</v>
      </c>
      <c r="M40" s="913">
        <v>5038896</v>
      </c>
      <c r="N40" s="108"/>
      <c r="O40" s="108">
        <v>27.1</v>
      </c>
      <c r="P40" s="95" t="s">
        <v>5</v>
      </c>
      <c r="Q40" s="108"/>
      <c r="R40" s="108"/>
      <c r="S40" s="108" t="s">
        <v>364</v>
      </c>
      <c r="T40" s="108" t="s">
        <v>467</v>
      </c>
      <c r="U40" s="102" t="s">
        <v>10</v>
      </c>
      <c r="V40" s="24" t="s">
        <v>16</v>
      </c>
      <c r="W40" s="24" t="s">
        <v>16</v>
      </c>
      <c r="X40" s="24" t="s">
        <v>5</v>
      </c>
      <c r="Y40" s="24" t="s">
        <v>335</v>
      </c>
      <c r="Z40" s="46" t="s">
        <v>24</v>
      </c>
      <c r="AA40" s="24">
        <v>1</v>
      </c>
      <c r="AB40" s="24" t="s">
        <v>342</v>
      </c>
      <c r="AC40" s="24">
        <v>17</v>
      </c>
      <c r="AD40" s="24">
        <v>15</v>
      </c>
      <c r="AE40" s="24">
        <v>19</v>
      </c>
      <c r="AF40" s="24"/>
      <c r="AG40" s="351"/>
      <c r="AH40" s="351"/>
      <c r="AI40" s="45" t="s">
        <v>550</v>
      </c>
      <c r="AJ40" s="103" t="s">
        <v>13</v>
      </c>
      <c r="AK40" s="103"/>
      <c r="AL40" s="351"/>
      <c r="AM40" s="351"/>
      <c r="AN40" s="45" t="s">
        <v>464</v>
      </c>
      <c r="AO40" s="46" t="s">
        <v>343</v>
      </c>
      <c r="AP40" s="46" t="s">
        <v>344</v>
      </c>
      <c r="AQ40" s="46" t="s">
        <v>37</v>
      </c>
      <c r="AR40" s="47">
        <v>44029</v>
      </c>
      <c r="AS40" s="46" t="s">
        <v>37</v>
      </c>
      <c r="AT40" s="365"/>
      <c r="AU40" s="1107"/>
    </row>
    <row r="41" spans="1:47" ht="57" customHeight="1" x14ac:dyDescent="0.25">
      <c r="A41" s="487" t="s">
        <v>86</v>
      </c>
      <c r="B41" s="128" t="s">
        <v>6797</v>
      </c>
      <c r="C41" s="72">
        <v>598</v>
      </c>
      <c r="D41" s="586" t="s">
        <v>53</v>
      </c>
      <c r="E41" s="586" t="s">
        <v>52</v>
      </c>
      <c r="F41" s="72" t="s">
        <v>197</v>
      </c>
      <c r="G41" s="140" t="s">
        <v>1972</v>
      </c>
      <c r="H41" s="129" t="s">
        <v>5682</v>
      </c>
      <c r="I41" s="381" t="s">
        <v>5683</v>
      </c>
      <c r="J41" s="187">
        <v>18</v>
      </c>
      <c r="K41" s="73" t="s">
        <v>191</v>
      </c>
      <c r="L41" s="914">
        <v>1448007.8188</v>
      </c>
      <c r="M41" s="914">
        <v>5248986.8224999998</v>
      </c>
      <c r="N41" s="129"/>
      <c r="O41" s="129" t="s">
        <v>192</v>
      </c>
      <c r="P41" s="72" t="s">
        <v>194</v>
      </c>
      <c r="Q41" s="129"/>
      <c r="R41" s="129"/>
      <c r="S41" s="129"/>
      <c r="T41" s="266" t="s">
        <v>10130</v>
      </c>
      <c r="U41" s="101" t="s">
        <v>16</v>
      </c>
      <c r="V41" s="31" t="s">
        <v>16</v>
      </c>
      <c r="W41" s="31" t="s">
        <v>85</v>
      </c>
      <c r="X41" s="31" t="s">
        <v>194</v>
      </c>
      <c r="Y41" s="31" t="s">
        <v>195</v>
      </c>
      <c r="Z41" s="40" t="s">
        <v>196</v>
      </c>
      <c r="AA41" s="97" t="s">
        <v>419</v>
      </c>
      <c r="AB41" s="31" t="s">
        <v>218</v>
      </c>
      <c r="AC41" s="31"/>
      <c r="AD41" s="31">
        <v>3.1019999999999999</v>
      </c>
      <c r="AE41" s="31">
        <v>2.3820000000000001</v>
      </c>
      <c r="AF41" s="31"/>
      <c r="AG41" s="372"/>
      <c r="AH41" s="372"/>
      <c r="AI41" s="30" t="s">
        <v>549</v>
      </c>
      <c r="AJ41" s="130" t="s">
        <v>66</v>
      </c>
      <c r="AK41" s="130"/>
      <c r="AL41" s="372"/>
      <c r="AM41" s="372"/>
      <c r="AN41" s="40" t="s">
        <v>10132</v>
      </c>
      <c r="AO41" s="40" t="s">
        <v>214</v>
      </c>
      <c r="AP41" s="40" t="s">
        <v>229</v>
      </c>
      <c r="AQ41" s="40" t="s">
        <v>37</v>
      </c>
      <c r="AR41" s="41">
        <v>44454</v>
      </c>
      <c r="AS41" s="40" t="s">
        <v>37</v>
      </c>
      <c r="AT41" s="54"/>
      <c r="AU41" s="652"/>
    </row>
    <row r="42" spans="1:47" ht="26.25" x14ac:dyDescent="0.25">
      <c r="A42" s="488"/>
      <c r="B42" s="131"/>
      <c r="C42" s="75"/>
      <c r="D42" s="568"/>
      <c r="E42" s="568"/>
      <c r="F42" s="75"/>
      <c r="G42" s="143"/>
      <c r="H42" s="118"/>
      <c r="I42" s="121"/>
      <c r="J42" s="188">
        <v>19</v>
      </c>
      <c r="K42" s="76" t="s">
        <v>198</v>
      </c>
      <c r="L42" s="915">
        <v>1430632.4776000001</v>
      </c>
      <c r="M42" s="915">
        <v>5235379.0554999998</v>
      </c>
      <c r="N42" s="118"/>
      <c r="O42" s="118" t="s">
        <v>202</v>
      </c>
      <c r="P42" s="75" t="s">
        <v>193</v>
      </c>
      <c r="Q42" s="118"/>
      <c r="R42" s="118"/>
      <c r="S42" s="118"/>
      <c r="T42" s="601" t="s">
        <v>10131</v>
      </c>
      <c r="U42" s="102" t="s">
        <v>16</v>
      </c>
      <c r="V42" s="24" t="s">
        <v>10</v>
      </c>
      <c r="W42" s="24" t="s">
        <v>85</v>
      </c>
      <c r="X42" s="24" t="s">
        <v>193</v>
      </c>
      <c r="Y42" s="24">
        <v>5</v>
      </c>
      <c r="Z42" s="46" t="s">
        <v>199</v>
      </c>
      <c r="AA42" s="117" t="s">
        <v>419</v>
      </c>
      <c r="AB42" s="117" t="s">
        <v>221</v>
      </c>
      <c r="AC42" s="24"/>
      <c r="AD42" s="24"/>
      <c r="AE42" s="24"/>
      <c r="AF42" s="24"/>
      <c r="AG42" s="351"/>
      <c r="AH42" s="351"/>
      <c r="AI42" s="45" t="s">
        <v>549</v>
      </c>
      <c r="AJ42" s="103" t="s">
        <v>66</v>
      </c>
      <c r="AK42" s="103"/>
      <c r="AL42" s="351"/>
      <c r="AM42" s="351"/>
      <c r="AN42" s="46" t="s">
        <v>201</v>
      </c>
      <c r="AO42" s="46" t="s">
        <v>200</v>
      </c>
      <c r="AP42" s="46" t="s">
        <v>228</v>
      </c>
      <c r="AQ42" s="46" t="s">
        <v>37</v>
      </c>
      <c r="AR42" s="47">
        <v>44018</v>
      </c>
      <c r="AS42" s="46" t="s">
        <v>37</v>
      </c>
      <c r="AT42" s="365"/>
      <c r="AU42" s="1107"/>
    </row>
    <row r="43" spans="1:47" ht="39" x14ac:dyDescent="0.25">
      <c r="A43" s="488"/>
      <c r="B43" s="131"/>
      <c r="C43" s="75"/>
      <c r="D43" s="568"/>
      <c r="E43" s="568"/>
      <c r="F43" s="75"/>
      <c r="G43" s="143"/>
      <c r="H43" s="118"/>
      <c r="I43" s="121"/>
      <c r="J43" s="188">
        <v>20</v>
      </c>
      <c r="K43" s="76" t="s">
        <v>203</v>
      </c>
      <c r="L43" s="915">
        <v>1422572.1255000001</v>
      </c>
      <c r="M43" s="915">
        <v>5229385.1288999999</v>
      </c>
      <c r="N43" s="118"/>
      <c r="O43" s="118" t="s">
        <v>204</v>
      </c>
      <c r="P43" s="118" t="s">
        <v>17</v>
      </c>
      <c r="Q43" s="118"/>
      <c r="R43" s="118"/>
      <c r="S43" s="118"/>
      <c r="T43" s="601" t="s">
        <v>445</v>
      </c>
      <c r="U43" s="102" t="s">
        <v>16</v>
      </c>
      <c r="V43" s="24" t="s">
        <v>85</v>
      </c>
      <c r="W43" s="24" t="s">
        <v>85</v>
      </c>
      <c r="X43" s="132" t="s">
        <v>17</v>
      </c>
      <c r="Y43" s="117" t="s">
        <v>205</v>
      </c>
      <c r="Z43" s="46" t="s">
        <v>206</v>
      </c>
      <c r="AA43" s="132" t="s">
        <v>441</v>
      </c>
      <c r="AB43" s="117" t="s">
        <v>219</v>
      </c>
      <c r="AC43" s="24"/>
      <c r="AD43" s="24"/>
      <c r="AE43" s="24"/>
      <c r="AF43" s="24"/>
      <c r="AG43" s="351"/>
      <c r="AH43" s="351"/>
      <c r="AI43" s="45" t="s">
        <v>256</v>
      </c>
      <c r="AJ43" s="179" t="s">
        <v>233</v>
      </c>
      <c r="AK43" s="103"/>
      <c r="AL43" s="351"/>
      <c r="AM43" s="351"/>
      <c r="AN43" s="46" t="s">
        <v>208</v>
      </c>
      <c r="AO43" s="46" t="s">
        <v>209</v>
      </c>
      <c r="AP43" s="46" t="s">
        <v>189</v>
      </c>
      <c r="AQ43" s="46" t="s">
        <v>37</v>
      </c>
      <c r="AR43" s="47">
        <v>44018</v>
      </c>
      <c r="AS43" s="46" t="s">
        <v>37</v>
      </c>
      <c r="AT43" s="365"/>
      <c r="AU43" s="1107"/>
    </row>
    <row r="44" spans="1:47" ht="39" x14ac:dyDescent="0.25">
      <c r="A44" s="488"/>
      <c r="B44" s="131"/>
      <c r="C44" s="75"/>
      <c r="D44" s="568"/>
      <c r="E44" s="568"/>
      <c r="F44" s="75"/>
      <c r="G44" s="143"/>
      <c r="H44" s="118"/>
      <c r="I44" s="121"/>
      <c r="J44" s="188">
        <v>21</v>
      </c>
      <c r="K44" s="76" t="s">
        <v>210</v>
      </c>
      <c r="L44" s="915">
        <v>1382845.0248</v>
      </c>
      <c r="M44" s="915">
        <v>5200585.6480999999</v>
      </c>
      <c r="N44" s="118"/>
      <c r="O44" s="118" t="s">
        <v>211</v>
      </c>
      <c r="P44" s="118" t="s">
        <v>17</v>
      </c>
      <c r="Q44" s="118"/>
      <c r="R44" s="118"/>
      <c r="S44" s="118"/>
      <c r="T44" s="601" t="s">
        <v>212</v>
      </c>
      <c r="U44" s="102" t="s">
        <v>85</v>
      </c>
      <c r="V44" s="24" t="s">
        <v>16</v>
      </c>
      <c r="W44" s="24" t="s">
        <v>85</v>
      </c>
      <c r="X44" s="132" t="s">
        <v>17</v>
      </c>
      <c r="Y44" s="24">
        <v>180</v>
      </c>
      <c r="Z44" s="46" t="s">
        <v>199</v>
      </c>
      <c r="AA44" s="117" t="s">
        <v>419</v>
      </c>
      <c r="AB44" s="24" t="s">
        <v>220</v>
      </c>
      <c r="AC44" s="24">
        <v>14.88</v>
      </c>
      <c r="AD44" s="24">
        <v>15.08</v>
      </c>
      <c r="AE44" s="24">
        <v>14.68</v>
      </c>
      <c r="AF44" s="24"/>
      <c r="AG44" s="351"/>
      <c r="AH44" s="351"/>
      <c r="AI44" s="45" t="s">
        <v>256</v>
      </c>
      <c r="AJ44" s="103" t="s">
        <v>13</v>
      </c>
      <c r="AK44" s="103"/>
      <c r="AL44" s="351"/>
      <c r="AM44" s="351"/>
      <c r="AN44" s="46" t="s">
        <v>213</v>
      </c>
      <c r="AO44" s="46" t="s">
        <v>214</v>
      </c>
      <c r="AP44" s="46" t="s">
        <v>227</v>
      </c>
      <c r="AQ44" s="46" t="s">
        <v>37</v>
      </c>
      <c r="AR44" s="47">
        <v>44018</v>
      </c>
      <c r="AS44" s="46" t="s">
        <v>37</v>
      </c>
      <c r="AT44" s="365"/>
      <c r="AU44" s="1107"/>
    </row>
    <row r="45" spans="1:47" ht="39" x14ac:dyDescent="0.25">
      <c r="A45" s="488"/>
      <c r="B45" s="131"/>
      <c r="C45" s="75"/>
      <c r="D45" s="568"/>
      <c r="E45" s="568"/>
      <c r="F45" s="75"/>
      <c r="G45" s="143"/>
      <c r="H45" s="118"/>
      <c r="I45" s="121"/>
      <c r="J45" s="188">
        <v>22</v>
      </c>
      <c r="K45" s="76" t="s">
        <v>215</v>
      </c>
      <c r="L45" s="915">
        <v>1362465.2254000001</v>
      </c>
      <c r="M45" s="915">
        <v>5185744.7461999999</v>
      </c>
      <c r="N45" s="118"/>
      <c r="O45" s="118" t="s">
        <v>216</v>
      </c>
      <c r="P45" s="118" t="s">
        <v>17</v>
      </c>
      <c r="Q45" s="118"/>
      <c r="R45" s="118"/>
      <c r="S45" s="118"/>
      <c r="T45" s="601" t="s">
        <v>238</v>
      </c>
      <c r="U45" s="102" t="s">
        <v>16</v>
      </c>
      <c r="V45" s="24" t="s">
        <v>85</v>
      </c>
      <c r="W45" s="24" t="s">
        <v>85</v>
      </c>
      <c r="X45" s="132" t="s">
        <v>17</v>
      </c>
      <c r="Y45" s="24" t="s">
        <v>217</v>
      </c>
      <c r="Z45" s="46" t="s">
        <v>199</v>
      </c>
      <c r="AA45" s="132" t="s">
        <v>442</v>
      </c>
      <c r="AB45" s="24" t="s">
        <v>223</v>
      </c>
      <c r="AC45" s="24"/>
      <c r="AD45" s="24"/>
      <c r="AE45" s="24"/>
      <c r="AF45" s="24"/>
      <c r="AG45" s="351"/>
      <c r="AH45" s="351"/>
      <c r="AI45" s="45" t="s">
        <v>12</v>
      </c>
      <c r="AJ45" s="103" t="s">
        <v>13</v>
      </c>
      <c r="AK45" s="103"/>
      <c r="AL45" s="351"/>
      <c r="AM45" s="351"/>
      <c r="AN45" s="46" t="s">
        <v>224</v>
      </c>
      <c r="AO45" s="46" t="s">
        <v>225</v>
      </c>
      <c r="AP45" s="46" t="s">
        <v>226</v>
      </c>
      <c r="AQ45" s="46" t="s">
        <v>37</v>
      </c>
      <c r="AR45" s="47">
        <v>44019</v>
      </c>
      <c r="AS45" s="46" t="s">
        <v>37</v>
      </c>
      <c r="AT45" s="365"/>
      <c r="AU45" s="1107"/>
    </row>
    <row r="46" spans="1:47" ht="51.75" x14ac:dyDescent="0.25">
      <c r="A46" s="488"/>
      <c r="B46" s="131"/>
      <c r="C46" s="75"/>
      <c r="D46" s="568"/>
      <c r="E46" s="568"/>
      <c r="F46" s="75"/>
      <c r="G46" s="143"/>
      <c r="H46" s="118"/>
      <c r="I46" s="121"/>
      <c r="J46" s="188">
        <v>23</v>
      </c>
      <c r="K46" s="76" t="s">
        <v>230</v>
      </c>
      <c r="L46" s="915">
        <v>1317444.3814999999</v>
      </c>
      <c r="M46" s="915">
        <v>5153997.5044999998</v>
      </c>
      <c r="N46" s="118"/>
      <c r="O46" s="118" t="s">
        <v>231</v>
      </c>
      <c r="P46" s="75" t="s">
        <v>193</v>
      </c>
      <c r="Q46" s="118"/>
      <c r="R46" s="118"/>
      <c r="S46" s="118"/>
      <c r="T46" s="601" t="s">
        <v>10133</v>
      </c>
      <c r="U46" s="102" t="s">
        <v>85</v>
      </c>
      <c r="V46" s="24" t="s">
        <v>85</v>
      </c>
      <c r="W46" s="24" t="s">
        <v>85</v>
      </c>
      <c r="X46" s="24" t="s">
        <v>193</v>
      </c>
      <c r="Y46" s="24" t="s">
        <v>41</v>
      </c>
      <c r="Z46" s="46" t="s">
        <v>232</v>
      </c>
      <c r="AA46" s="117" t="s">
        <v>419</v>
      </c>
      <c r="AB46" s="24"/>
      <c r="AC46" s="24"/>
      <c r="AD46" s="24"/>
      <c r="AE46" s="24"/>
      <c r="AF46" s="24"/>
      <c r="AG46" s="351"/>
      <c r="AH46" s="351"/>
      <c r="AI46" s="45" t="s">
        <v>551</v>
      </c>
      <c r="AJ46" s="179" t="s">
        <v>233</v>
      </c>
      <c r="AK46" s="103"/>
      <c r="AL46" s="351"/>
      <c r="AM46" s="351"/>
      <c r="AN46" s="46" t="s">
        <v>10134</v>
      </c>
      <c r="AO46" s="46" t="s">
        <v>234</v>
      </c>
      <c r="AP46" s="46" t="s">
        <v>235</v>
      </c>
      <c r="AQ46" s="46" t="s">
        <v>37</v>
      </c>
      <c r="AR46" s="47">
        <v>44454</v>
      </c>
      <c r="AS46" s="46" t="s">
        <v>37</v>
      </c>
      <c r="AT46" s="365"/>
      <c r="AU46" s="1107"/>
    </row>
    <row r="47" spans="1:47" ht="26.25" x14ac:dyDescent="0.25">
      <c r="A47" s="488"/>
      <c r="B47" s="131"/>
      <c r="C47" s="75"/>
      <c r="D47" s="568"/>
      <c r="E47" s="568"/>
      <c r="F47" s="75"/>
      <c r="G47" s="143"/>
      <c r="H47" s="118"/>
      <c r="I47" s="121"/>
      <c r="J47" s="188">
        <v>24</v>
      </c>
      <c r="K47" s="76" t="s">
        <v>236</v>
      </c>
      <c r="L47" s="915">
        <v>1285683.0715000001</v>
      </c>
      <c r="M47" s="915">
        <v>5131853.4570000004</v>
      </c>
      <c r="N47" s="118"/>
      <c r="O47" s="118" t="s">
        <v>237</v>
      </c>
      <c r="P47" s="118" t="s">
        <v>61</v>
      </c>
      <c r="Q47" s="118"/>
      <c r="R47" s="118"/>
      <c r="S47" s="118"/>
      <c r="T47" s="601" t="s">
        <v>239</v>
      </c>
      <c r="U47" s="102" t="s">
        <v>16</v>
      </c>
      <c r="V47" s="24" t="s">
        <v>16</v>
      </c>
      <c r="W47" s="24" t="s">
        <v>16</v>
      </c>
      <c r="X47" s="132" t="s">
        <v>61</v>
      </c>
      <c r="Y47" s="117" t="s">
        <v>240</v>
      </c>
      <c r="Z47" s="46" t="s">
        <v>241</v>
      </c>
      <c r="AA47" s="117" t="s">
        <v>419</v>
      </c>
      <c r="AB47" s="24" t="s">
        <v>242</v>
      </c>
      <c r="AC47" s="24">
        <v>4.4000000000000004</v>
      </c>
      <c r="AD47" s="24">
        <v>4.3</v>
      </c>
      <c r="AE47" s="24">
        <v>4.5</v>
      </c>
      <c r="AF47" s="24"/>
      <c r="AG47" s="351"/>
      <c r="AH47" s="351"/>
      <c r="AI47" s="45" t="s">
        <v>549</v>
      </c>
      <c r="AJ47" s="103" t="s">
        <v>66</v>
      </c>
      <c r="AK47" s="103"/>
      <c r="AL47" s="351"/>
      <c r="AM47" s="351"/>
      <c r="AN47" s="46" t="s">
        <v>243</v>
      </c>
      <c r="AO47" s="46" t="s">
        <v>214</v>
      </c>
      <c r="AP47" s="46" t="s">
        <v>244</v>
      </c>
      <c r="AQ47" s="46" t="s">
        <v>37</v>
      </c>
      <c r="AR47" s="47">
        <v>44019</v>
      </c>
      <c r="AS47" s="46" t="s">
        <v>37</v>
      </c>
      <c r="AT47" s="365"/>
      <c r="AU47" s="1107"/>
    </row>
    <row r="48" spans="1:47" ht="51.75" x14ac:dyDescent="0.25">
      <c r="A48" s="488"/>
      <c r="B48" s="131"/>
      <c r="C48" s="75"/>
      <c r="D48" s="568"/>
      <c r="E48" s="568"/>
      <c r="F48" s="75"/>
      <c r="G48" s="143"/>
      <c r="H48" s="118"/>
      <c r="I48" s="121"/>
      <c r="J48" s="188">
        <v>25</v>
      </c>
      <c r="K48" s="76" t="s">
        <v>245</v>
      </c>
      <c r="L48" s="915">
        <v>1284203.8781000001</v>
      </c>
      <c r="M48" s="915">
        <v>5130732.4890999999</v>
      </c>
      <c r="N48" s="118"/>
      <c r="O48" s="118" t="s">
        <v>246</v>
      </c>
      <c r="P48" s="118" t="s">
        <v>61</v>
      </c>
      <c r="Q48" s="118"/>
      <c r="R48" s="118"/>
      <c r="S48" s="118"/>
      <c r="T48" s="601" t="s">
        <v>4690</v>
      </c>
      <c r="U48" s="102" t="s">
        <v>16</v>
      </c>
      <c r="V48" s="24" t="s">
        <v>10</v>
      </c>
      <c r="W48" s="24" t="s">
        <v>16</v>
      </c>
      <c r="X48" s="132" t="s">
        <v>61</v>
      </c>
      <c r="Y48" s="117" t="s">
        <v>247</v>
      </c>
      <c r="Z48" s="46" t="s">
        <v>241</v>
      </c>
      <c r="AA48" s="117" t="s">
        <v>419</v>
      </c>
      <c r="AB48" s="24" t="s">
        <v>248</v>
      </c>
      <c r="AC48" s="24">
        <v>1.2</v>
      </c>
      <c r="AD48" s="24">
        <v>1.1499999999999999</v>
      </c>
      <c r="AE48" s="24">
        <v>1.25</v>
      </c>
      <c r="AF48" s="24"/>
      <c r="AG48" s="351"/>
      <c r="AH48" s="351"/>
      <c r="AI48" s="45" t="s">
        <v>549</v>
      </c>
      <c r="AJ48" s="103" t="s">
        <v>66</v>
      </c>
      <c r="AK48" s="103">
        <v>3</v>
      </c>
      <c r="AL48" s="351"/>
      <c r="AM48" s="351"/>
      <c r="AN48" s="46" t="s">
        <v>249</v>
      </c>
      <c r="AO48" s="46" t="s">
        <v>250</v>
      </c>
      <c r="AP48" s="46" t="s">
        <v>319</v>
      </c>
      <c r="AQ48" s="46" t="s">
        <v>37</v>
      </c>
      <c r="AR48" s="47">
        <v>44019</v>
      </c>
      <c r="AS48" s="46" t="s">
        <v>37</v>
      </c>
      <c r="AT48" s="365"/>
      <c r="AU48" s="1107"/>
    </row>
    <row r="49" spans="1:47" ht="64.5" x14ac:dyDescent="0.25">
      <c r="A49" s="488"/>
      <c r="B49" s="131"/>
      <c r="C49" s="75"/>
      <c r="D49" s="568"/>
      <c r="E49" s="568"/>
      <c r="F49" s="75"/>
      <c r="G49" s="143"/>
      <c r="H49" s="118"/>
      <c r="I49" s="121"/>
      <c r="J49" s="188">
        <v>26</v>
      </c>
      <c r="K49" s="76" t="s">
        <v>251</v>
      </c>
      <c r="L49" s="915">
        <v>1276841.8644000001</v>
      </c>
      <c r="M49" s="915">
        <v>5125929.932</v>
      </c>
      <c r="N49" s="118"/>
      <c r="O49" s="118" t="s">
        <v>252</v>
      </c>
      <c r="P49" s="75" t="s">
        <v>194</v>
      </c>
      <c r="Q49" s="118"/>
      <c r="R49" s="118"/>
      <c r="S49" s="118"/>
      <c r="T49" s="601" t="s">
        <v>10135</v>
      </c>
      <c r="U49" s="102" t="s">
        <v>85</v>
      </c>
      <c r="V49" s="24" t="s">
        <v>16</v>
      </c>
      <c r="W49" s="24" t="s">
        <v>85</v>
      </c>
      <c r="X49" s="24" t="s">
        <v>194</v>
      </c>
      <c r="Y49" s="24" t="s">
        <v>253</v>
      </c>
      <c r="Z49" s="46" t="s">
        <v>196</v>
      </c>
      <c r="AA49" s="117" t="s">
        <v>419</v>
      </c>
      <c r="AB49" s="117" t="s">
        <v>691</v>
      </c>
      <c r="AC49" s="24">
        <v>10.96</v>
      </c>
      <c r="AD49" s="24">
        <v>11.073</v>
      </c>
      <c r="AE49" s="24">
        <v>10.549000000000001</v>
      </c>
      <c r="AF49" s="24"/>
      <c r="AG49" s="351"/>
      <c r="AH49" s="351"/>
      <c r="AI49" s="45" t="s">
        <v>549</v>
      </c>
      <c r="AJ49" s="103" t="s">
        <v>66</v>
      </c>
      <c r="AK49" s="103"/>
      <c r="AL49" s="351"/>
      <c r="AM49" s="351"/>
      <c r="AN49" s="46" t="s">
        <v>10136</v>
      </c>
      <c r="AO49" s="46" t="s">
        <v>214</v>
      </c>
      <c r="AP49" s="46" t="s">
        <v>254</v>
      </c>
      <c r="AQ49" s="46" t="s">
        <v>37</v>
      </c>
      <c r="AR49" s="47">
        <v>44020</v>
      </c>
      <c r="AS49" s="46" t="s">
        <v>37</v>
      </c>
      <c r="AT49" s="365"/>
      <c r="AU49" s="1107"/>
    </row>
    <row r="50" spans="1:47" ht="65.25" thickBot="1" x14ac:dyDescent="0.3">
      <c r="A50" s="489"/>
      <c r="B50" s="133"/>
      <c r="C50" s="78"/>
      <c r="D50" s="569"/>
      <c r="E50" s="569"/>
      <c r="F50" s="78"/>
      <c r="G50" s="144"/>
      <c r="H50" s="119"/>
      <c r="I50" s="429"/>
      <c r="J50" s="192">
        <v>46</v>
      </c>
      <c r="K50" s="79" t="s">
        <v>308</v>
      </c>
      <c r="L50" s="916">
        <v>1260018.524</v>
      </c>
      <c r="M50" s="916">
        <v>5114602.7582999999</v>
      </c>
      <c r="N50" s="119"/>
      <c r="O50" s="119" t="s">
        <v>309</v>
      </c>
      <c r="P50" s="78" t="s">
        <v>5</v>
      </c>
      <c r="Q50" s="119"/>
      <c r="R50" s="119"/>
      <c r="S50" s="119"/>
      <c r="T50" s="267" t="s">
        <v>462</v>
      </c>
      <c r="U50" s="104" t="s">
        <v>16</v>
      </c>
      <c r="V50" s="25" t="s">
        <v>16</v>
      </c>
      <c r="W50" s="25" t="s">
        <v>16</v>
      </c>
      <c r="X50" s="25" t="s">
        <v>5</v>
      </c>
      <c r="Y50" s="25" t="s">
        <v>692</v>
      </c>
      <c r="Z50" s="52" t="s">
        <v>310</v>
      </c>
      <c r="AA50" s="25">
        <v>1</v>
      </c>
      <c r="AB50" s="25" t="s">
        <v>311</v>
      </c>
      <c r="AC50" s="494">
        <v>270</v>
      </c>
      <c r="AD50" s="25">
        <v>250</v>
      </c>
      <c r="AE50" s="25">
        <v>290</v>
      </c>
      <c r="AF50" s="25"/>
      <c r="AG50" s="386"/>
      <c r="AH50" s="386"/>
      <c r="AI50" s="51" t="s">
        <v>256</v>
      </c>
      <c r="AJ50" s="105" t="s">
        <v>312</v>
      </c>
      <c r="AK50" s="105"/>
      <c r="AL50" s="386"/>
      <c r="AM50" s="386"/>
      <c r="AN50" s="52" t="s">
        <v>463</v>
      </c>
      <c r="AO50" s="52" t="s">
        <v>313</v>
      </c>
      <c r="AP50" s="52" t="s">
        <v>314</v>
      </c>
      <c r="AQ50" s="52" t="s">
        <v>37</v>
      </c>
      <c r="AR50" s="53">
        <v>44027</v>
      </c>
      <c r="AS50" s="52" t="s">
        <v>37</v>
      </c>
      <c r="AT50" s="367"/>
      <c r="AU50" s="653"/>
    </row>
    <row r="51" spans="1:47" ht="77.25" x14ac:dyDescent="0.25">
      <c r="A51" s="341" t="s">
        <v>86</v>
      </c>
      <c r="B51" s="181" t="s">
        <v>6796</v>
      </c>
      <c r="C51" s="125">
        <v>597</v>
      </c>
      <c r="D51" s="181" t="s">
        <v>6839</v>
      </c>
      <c r="E51" s="585"/>
      <c r="F51" s="125" t="s">
        <v>668</v>
      </c>
      <c r="G51" s="145" t="s">
        <v>4986</v>
      </c>
      <c r="H51" s="126" t="s">
        <v>5680</v>
      </c>
      <c r="I51" s="247" t="s">
        <v>5681</v>
      </c>
      <c r="J51" s="189">
        <v>91</v>
      </c>
      <c r="K51" s="355" t="s">
        <v>555</v>
      </c>
      <c r="L51" s="911">
        <v>1529398.4907</v>
      </c>
      <c r="M51" s="911">
        <v>5305860.5058000004</v>
      </c>
      <c r="N51" s="126"/>
      <c r="O51" s="126" t="s">
        <v>558</v>
      </c>
      <c r="P51" s="126" t="s">
        <v>5</v>
      </c>
      <c r="Q51" s="126"/>
      <c r="R51" s="126"/>
      <c r="S51" s="126"/>
      <c r="T51" s="344" t="s">
        <v>1202</v>
      </c>
      <c r="U51" s="101" t="s">
        <v>16</v>
      </c>
      <c r="V51" s="31" t="s">
        <v>85</v>
      </c>
      <c r="W51" s="31" t="s">
        <v>85</v>
      </c>
      <c r="X51" s="97" t="s">
        <v>5</v>
      </c>
      <c r="Y51" s="97" t="s">
        <v>559</v>
      </c>
      <c r="Z51" s="40" t="s">
        <v>277</v>
      </c>
      <c r="AA51" s="153">
        <v>1</v>
      </c>
      <c r="AB51" s="31">
        <v>18</v>
      </c>
      <c r="AC51" s="31">
        <v>18</v>
      </c>
      <c r="AD51" s="31"/>
      <c r="AE51" s="31"/>
      <c r="AF51" s="31"/>
      <c r="AG51" s="372"/>
      <c r="AH51" s="372"/>
      <c r="AI51" s="30" t="s">
        <v>256</v>
      </c>
      <c r="AJ51" s="130"/>
      <c r="AK51" s="130"/>
      <c r="AL51" s="372"/>
      <c r="AM51" s="372"/>
      <c r="AN51" s="40" t="s">
        <v>560</v>
      </c>
      <c r="AO51" s="40" t="s">
        <v>561</v>
      </c>
      <c r="AP51" s="40" t="s">
        <v>562</v>
      </c>
      <c r="AQ51" s="40" t="s">
        <v>37</v>
      </c>
      <c r="AR51" s="41">
        <v>44054</v>
      </c>
      <c r="AS51" s="40" t="s">
        <v>37</v>
      </c>
      <c r="AT51" s="54"/>
      <c r="AU51" s="652"/>
    </row>
    <row r="52" spans="1:47" ht="27" thickBot="1" x14ac:dyDescent="0.3">
      <c r="A52" s="339"/>
      <c r="B52" s="116"/>
      <c r="C52" s="95"/>
      <c r="D52" s="567"/>
      <c r="E52" s="567"/>
      <c r="F52" s="95"/>
      <c r="G52" s="146"/>
      <c r="H52" s="108"/>
      <c r="I52" s="122"/>
      <c r="J52" s="190">
        <v>92</v>
      </c>
      <c r="K52" s="357" t="s">
        <v>556</v>
      </c>
      <c r="L52" s="912">
        <v>1528904.3724</v>
      </c>
      <c r="M52" s="912">
        <v>5305510.8381000003</v>
      </c>
      <c r="N52" s="107"/>
      <c r="O52" s="107" t="s">
        <v>563</v>
      </c>
      <c r="P52" s="107" t="s">
        <v>5</v>
      </c>
      <c r="Q52" s="107"/>
      <c r="R52" s="107"/>
      <c r="S52" s="107"/>
      <c r="T52" s="127" t="s">
        <v>1203</v>
      </c>
      <c r="U52" s="104" t="s">
        <v>16</v>
      </c>
      <c r="V52" s="25" t="s">
        <v>85</v>
      </c>
      <c r="W52" s="25" t="s">
        <v>85</v>
      </c>
      <c r="X52" s="120" t="s">
        <v>5</v>
      </c>
      <c r="Y52" s="120" t="s">
        <v>564</v>
      </c>
      <c r="Z52" s="52" t="s">
        <v>277</v>
      </c>
      <c r="AA52" s="156">
        <v>1</v>
      </c>
      <c r="AB52" s="25">
        <v>18</v>
      </c>
      <c r="AC52" s="25">
        <v>18</v>
      </c>
      <c r="AD52" s="25"/>
      <c r="AE52" s="25"/>
      <c r="AF52" s="25"/>
      <c r="AG52" s="386"/>
      <c r="AH52" s="386"/>
      <c r="AI52" s="51" t="s">
        <v>256</v>
      </c>
      <c r="AJ52" s="105"/>
      <c r="AK52" s="105"/>
      <c r="AL52" s="386"/>
      <c r="AM52" s="386"/>
      <c r="AN52" s="52" t="s">
        <v>565</v>
      </c>
      <c r="AO52" s="52" t="s">
        <v>561</v>
      </c>
      <c r="AP52" s="52" t="s">
        <v>562</v>
      </c>
      <c r="AQ52" s="52" t="s">
        <v>37</v>
      </c>
      <c r="AR52" s="53">
        <v>44054</v>
      </c>
      <c r="AS52" s="52" t="s">
        <v>37</v>
      </c>
      <c r="AT52" s="367"/>
      <c r="AU52" s="653"/>
    </row>
    <row r="53" spans="1:47" ht="27" thickBot="1" x14ac:dyDescent="0.3">
      <c r="A53" s="339"/>
      <c r="B53" s="116"/>
      <c r="C53" s="95"/>
      <c r="D53" s="567"/>
      <c r="E53" s="567"/>
      <c r="F53" s="95"/>
      <c r="G53" s="146"/>
      <c r="H53" s="108"/>
      <c r="I53" s="122"/>
      <c r="J53" s="89">
        <v>17</v>
      </c>
      <c r="K53" s="396" t="s">
        <v>184</v>
      </c>
      <c r="L53" s="265">
        <v>1495997.8333999999</v>
      </c>
      <c r="M53" s="265">
        <v>5282492.2079999996</v>
      </c>
      <c r="N53" s="109"/>
      <c r="O53" s="697" t="s">
        <v>186</v>
      </c>
      <c r="P53" s="109" t="s">
        <v>17</v>
      </c>
      <c r="Q53" s="109"/>
      <c r="R53" s="109"/>
      <c r="S53" s="109"/>
      <c r="T53" s="343" t="s">
        <v>190</v>
      </c>
      <c r="U53" s="85" t="s">
        <v>16</v>
      </c>
      <c r="V53" s="86" t="s">
        <v>16</v>
      </c>
      <c r="W53" s="86" t="s">
        <v>16</v>
      </c>
      <c r="X53" s="176" t="s">
        <v>17</v>
      </c>
      <c r="Y53" s="197" t="s">
        <v>185</v>
      </c>
      <c r="Z53" s="92" t="s">
        <v>180</v>
      </c>
      <c r="AA53" s="176" t="s">
        <v>440</v>
      </c>
      <c r="AB53" s="86" t="s">
        <v>222</v>
      </c>
      <c r="AC53" s="86">
        <v>2.1</v>
      </c>
      <c r="AD53" s="86">
        <v>1.85</v>
      </c>
      <c r="AE53" s="86">
        <v>2.35</v>
      </c>
      <c r="AF53" s="86"/>
      <c r="AG53" s="387"/>
      <c r="AH53" s="387"/>
      <c r="AI53" s="94" t="s">
        <v>549</v>
      </c>
      <c r="AJ53" s="106" t="s">
        <v>66</v>
      </c>
      <c r="AK53" s="106"/>
      <c r="AL53" s="387"/>
      <c r="AM53" s="387"/>
      <c r="AN53" s="92" t="s">
        <v>4981</v>
      </c>
      <c r="AO53" s="92" t="s">
        <v>214</v>
      </c>
      <c r="AP53" s="92" t="s">
        <v>189</v>
      </c>
      <c r="AQ53" s="92" t="s">
        <v>37</v>
      </c>
      <c r="AR53" s="93">
        <v>44244</v>
      </c>
      <c r="AS53" s="92" t="s">
        <v>37</v>
      </c>
      <c r="AT53" s="368"/>
      <c r="AU53" s="1108"/>
    </row>
    <row r="54" spans="1:47" ht="52.5" thickBot="1" x14ac:dyDescent="0.3">
      <c r="A54" s="336"/>
      <c r="B54" s="196"/>
      <c r="C54" s="96"/>
      <c r="D54" s="566"/>
      <c r="E54" s="566"/>
      <c r="F54" s="96"/>
      <c r="G54" s="147"/>
      <c r="H54" s="107"/>
      <c r="I54" s="123"/>
      <c r="J54" s="96">
        <v>15</v>
      </c>
      <c r="K54" s="357" t="s">
        <v>4980</v>
      </c>
      <c r="L54" s="912">
        <v>1475213.2183999999</v>
      </c>
      <c r="M54" s="912">
        <v>5269087.3691999996</v>
      </c>
      <c r="N54" s="107"/>
      <c r="O54" s="107" t="s">
        <v>169</v>
      </c>
      <c r="P54" s="107" t="s">
        <v>61</v>
      </c>
      <c r="Q54" s="107"/>
      <c r="R54" s="107"/>
      <c r="S54" s="107"/>
      <c r="T54" s="127" t="s">
        <v>170</v>
      </c>
      <c r="U54" s="104" t="s">
        <v>10</v>
      </c>
      <c r="V54" s="25" t="s">
        <v>10</v>
      </c>
      <c r="W54" s="25" t="s">
        <v>10</v>
      </c>
      <c r="X54" s="120" t="s">
        <v>61</v>
      </c>
      <c r="Y54" s="120" t="s">
        <v>171</v>
      </c>
      <c r="Z54" s="52" t="s">
        <v>172</v>
      </c>
      <c r="AA54" s="120" t="s">
        <v>419</v>
      </c>
      <c r="AB54" s="25" t="s">
        <v>173</v>
      </c>
      <c r="AC54" s="25"/>
      <c r="AD54" s="25">
        <v>1.73</v>
      </c>
      <c r="AE54" s="25">
        <v>1.59</v>
      </c>
      <c r="AF54" s="25"/>
      <c r="AG54" s="386"/>
      <c r="AH54" s="386"/>
      <c r="AI54" s="51" t="s">
        <v>549</v>
      </c>
      <c r="AJ54" s="105" t="s">
        <v>66</v>
      </c>
      <c r="AK54" s="105"/>
      <c r="AL54" s="386"/>
      <c r="AM54" s="386"/>
      <c r="AN54" s="52" t="s">
        <v>181</v>
      </c>
      <c r="AO54" s="52" t="s">
        <v>214</v>
      </c>
      <c r="AP54" s="52" t="s">
        <v>175</v>
      </c>
      <c r="AQ54" s="52" t="s">
        <v>37</v>
      </c>
      <c r="AR54" s="53">
        <v>43997</v>
      </c>
      <c r="AS54" s="52" t="s">
        <v>37</v>
      </c>
      <c r="AT54" s="367"/>
      <c r="AU54" s="653"/>
    </row>
    <row r="55" spans="1:47" ht="51.75" x14ac:dyDescent="0.25">
      <c r="A55" s="487" t="s">
        <v>86</v>
      </c>
      <c r="B55" s="128" t="s">
        <v>6798</v>
      </c>
      <c r="C55" s="72">
        <v>606</v>
      </c>
      <c r="D55" s="586" t="s">
        <v>53</v>
      </c>
      <c r="E55" s="586"/>
      <c r="F55" s="72" t="s">
        <v>325</v>
      </c>
      <c r="G55" s="140" t="s">
        <v>1974</v>
      </c>
      <c r="H55" s="129" t="s">
        <v>5289</v>
      </c>
      <c r="I55" s="381" t="s">
        <v>5301</v>
      </c>
      <c r="J55" s="187">
        <v>54</v>
      </c>
      <c r="K55" s="73" t="s">
        <v>331</v>
      </c>
      <c r="L55" s="914">
        <v>1108838</v>
      </c>
      <c r="M55" s="914">
        <v>4976146</v>
      </c>
      <c r="N55" s="129"/>
      <c r="O55" s="129">
        <v>31.8</v>
      </c>
      <c r="P55" s="72" t="s">
        <v>5</v>
      </c>
      <c r="Q55" s="129"/>
      <c r="R55" s="129"/>
      <c r="S55" s="129" t="s">
        <v>369</v>
      </c>
      <c r="T55" s="129" t="s">
        <v>471</v>
      </c>
      <c r="U55" s="101" t="s">
        <v>10</v>
      </c>
      <c r="V55" s="31" t="s">
        <v>16</v>
      </c>
      <c r="W55" s="31" t="s">
        <v>16</v>
      </c>
      <c r="X55" s="31" t="s">
        <v>5</v>
      </c>
      <c r="Y55" s="31" t="s">
        <v>339</v>
      </c>
      <c r="Z55" s="40" t="s">
        <v>341</v>
      </c>
      <c r="AA55" s="31">
        <v>1</v>
      </c>
      <c r="AB55" s="31" t="s">
        <v>342</v>
      </c>
      <c r="AC55" s="31">
        <v>17</v>
      </c>
      <c r="AD55" s="31">
        <v>15</v>
      </c>
      <c r="AE55" s="31">
        <v>19</v>
      </c>
      <c r="AF55" s="31"/>
      <c r="AG55" s="372"/>
      <c r="AH55" s="372"/>
      <c r="AI55" s="30" t="s">
        <v>550</v>
      </c>
      <c r="AJ55" s="130" t="s">
        <v>13</v>
      </c>
      <c r="AK55" s="130"/>
      <c r="AL55" s="372"/>
      <c r="AM55" s="372"/>
      <c r="AN55" s="30" t="s">
        <v>464</v>
      </c>
      <c r="AO55" s="40" t="s">
        <v>343</v>
      </c>
      <c r="AP55" s="40" t="s">
        <v>344</v>
      </c>
      <c r="AQ55" s="40" t="s">
        <v>37</v>
      </c>
      <c r="AR55" s="47">
        <v>44244</v>
      </c>
      <c r="AS55" s="40" t="s">
        <v>37</v>
      </c>
      <c r="AT55" s="54"/>
      <c r="AU55" s="652"/>
    </row>
    <row r="56" spans="1:47" ht="52.5" thickBot="1" x14ac:dyDescent="0.3">
      <c r="A56" s="489"/>
      <c r="B56" s="133"/>
      <c r="C56" s="78"/>
      <c r="D56" s="569"/>
      <c r="E56" s="569"/>
      <c r="F56" s="78"/>
      <c r="G56" s="144"/>
      <c r="H56" s="119"/>
      <c r="I56" s="429"/>
      <c r="J56" s="192">
        <v>55</v>
      </c>
      <c r="K56" s="79" t="s">
        <v>368</v>
      </c>
      <c r="L56" s="916">
        <v>1105710</v>
      </c>
      <c r="M56" s="916">
        <v>4970686</v>
      </c>
      <c r="N56" s="119"/>
      <c r="O56" s="119">
        <v>30.6</v>
      </c>
      <c r="P56" s="78" t="s">
        <v>5</v>
      </c>
      <c r="Q56" s="119"/>
      <c r="R56" s="119"/>
      <c r="S56" s="119" t="s">
        <v>370</v>
      </c>
      <c r="T56" s="119" t="s">
        <v>472</v>
      </c>
      <c r="U56" s="104" t="s">
        <v>10</v>
      </c>
      <c r="V56" s="25" t="s">
        <v>16</v>
      </c>
      <c r="W56" s="25" t="s">
        <v>16</v>
      </c>
      <c r="X56" s="25" t="s">
        <v>5</v>
      </c>
      <c r="Y56" s="25" t="s">
        <v>340</v>
      </c>
      <c r="Z56" s="52" t="s">
        <v>341</v>
      </c>
      <c r="AA56" s="25">
        <v>1</v>
      </c>
      <c r="AB56" s="25" t="s">
        <v>342</v>
      </c>
      <c r="AC56" s="25">
        <v>17</v>
      </c>
      <c r="AD56" s="25">
        <v>15</v>
      </c>
      <c r="AE56" s="25">
        <v>19</v>
      </c>
      <c r="AF56" s="25"/>
      <c r="AG56" s="386"/>
      <c r="AH56" s="386"/>
      <c r="AI56" s="51" t="s">
        <v>550</v>
      </c>
      <c r="AJ56" s="105" t="s">
        <v>13</v>
      </c>
      <c r="AK56" s="105"/>
      <c r="AL56" s="386"/>
      <c r="AM56" s="386"/>
      <c r="AN56" s="51" t="s">
        <v>464</v>
      </c>
      <c r="AO56" s="52" t="s">
        <v>343</v>
      </c>
      <c r="AP56" s="52" t="s">
        <v>344</v>
      </c>
      <c r="AQ56" s="52" t="s">
        <v>37</v>
      </c>
      <c r="AR56" s="47">
        <v>44244</v>
      </c>
      <c r="AS56" s="52" t="s">
        <v>37</v>
      </c>
      <c r="AT56" s="367"/>
      <c r="AU56" s="653"/>
    </row>
    <row r="57" spans="1:47" ht="115.5" x14ac:dyDescent="0.25">
      <c r="A57" s="341" t="s">
        <v>86</v>
      </c>
      <c r="B57" s="181" t="s">
        <v>6799</v>
      </c>
      <c r="C57" s="125">
        <v>596</v>
      </c>
      <c r="D57" s="585" t="s">
        <v>53</v>
      </c>
      <c r="E57" s="585" t="s">
        <v>52</v>
      </c>
      <c r="F57" s="125" t="s">
        <v>155</v>
      </c>
      <c r="G57" s="145" t="s">
        <v>1972</v>
      </c>
      <c r="H57" s="126" t="s">
        <v>5679</v>
      </c>
      <c r="I57" s="247" t="s">
        <v>5678</v>
      </c>
      <c r="J57" s="189">
        <v>58</v>
      </c>
      <c r="K57" s="355" t="s">
        <v>380</v>
      </c>
      <c r="L57" s="911">
        <v>1587409.6436000001</v>
      </c>
      <c r="M57" s="911">
        <v>5371768.6164999995</v>
      </c>
      <c r="N57" s="181"/>
      <c r="O57" s="126" t="s">
        <v>686</v>
      </c>
      <c r="P57" s="126" t="s">
        <v>61</v>
      </c>
      <c r="Q57" s="181"/>
      <c r="R57" s="181"/>
      <c r="S57" s="181"/>
      <c r="T57" s="126" t="s">
        <v>4691</v>
      </c>
      <c r="U57" s="101" t="s">
        <v>85</v>
      </c>
      <c r="V57" s="31" t="s">
        <v>85</v>
      </c>
      <c r="W57" s="31" t="s">
        <v>85</v>
      </c>
      <c r="X57" s="97" t="s">
        <v>61</v>
      </c>
      <c r="Y57" s="97" t="s">
        <v>383</v>
      </c>
      <c r="Z57" s="40" t="s">
        <v>277</v>
      </c>
      <c r="AA57" s="97" t="s">
        <v>419</v>
      </c>
      <c r="AB57" s="31" t="s">
        <v>375</v>
      </c>
      <c r="AC57" s="31">
        <v>14</v>
      </c>
      <c r="AD57" s="31">
        <v>12</v>
      </c>
      <c r="AE57" s="31">
        <v>16</v>
      </c>
      <c r="AF57" s="31"/>
      <c r="AG57" s="372"/>
      <c r="AH57" s="372"/>
      <c r="AI57" s="30" t="s">
        <v>256</v>
      </c>
      <c r="AJ57" s="130"/>
      <c r="AK57" s="130"/>
      <c r="AL57" s="372"/>
      <c r="AM57" s="372"/>
      <c r="AN57" s="30" t="s">
        <v>384</v>
      </c>
      <c r="AO57" s="30" t="s">
        <v>657</v>
      </c>
      <c r="AP57" s="40" t="s">
        <v>6904</v>
      </c>
      <c r="AQ57" s="40" t="s">
        <v>37</v>
      </c>
      <c r="AR57" s="41">
        <v>44034</v>
      </c>
      <c r="AS57" s="40" t="s">
        <v>37</v>
      </c>
      <c r="AT57" s="54"/>
      <c r="AU57" s="652"/>
    </row>
    <row r="58" spans="1:47" ht="26.25" x14ac:dyDescent="0.25">
      <c r="A58" s="339"/>
      <c r="B58" s="116"/>
      <c r="C58" s="95"/>
      <c r="D58" s="567"/>
      <c r="E58" s="567"/>
      <c r="F58" s="95"/>
      <c r="G58" s="146"/>
      <c r="H58" s="108"/>
      <c r="I58" s="122"/>
      <c r="J58" s="191">
        <v>57</v>
      </c>
      <c r="K58" s="359" t="s">
        <v>379</v>
      </c>
      <c r="L58" s="913">
        <v>1586658.2618</v>
      </c>
      <c r="M58" s="913">
        <v>5371321.1986999996</v>
      </c>
      <c r="N58" s="116"/>
      <c r="O58" s="108" t="s">
        <v>687</v>
      </c>
      <c r="P58" s="108" t="s">
        <v>61</v>
      </c>
      <c r="Q58" s="116"/>
      <c r="R58" s="116"/>
      <c r="S58" s="116"/>
      <c r="T58" s="108" t="s">
        <v>607</v>
      </c>
      <c r="U58" s="102" t="s">
        <v>85</v>
      </c>
      <c r="V58" s="24" t="s">
        <v>85</v>
      </c>
      <c r="W58" s="24" t="s">
        <v>85</v>
      </c>
      <c r="X58" s="117" t="s">
        <v>61</v>
      </c>
      <c r="Y58" s="117" t="s">
        <v>382</v>
      </c>
      <c r="Z58" s="46" t="s">
        <v>277</v>
      </c>
      <c r="AA58" s="117" t="s">
        <v>419</v>
      </c>
      <c r="AB58" s="24" t="s">
        <v>375</v>
      </c>
      <c r="AC58" s="24">
        <v>14</v>
      </c>
      <c r="AD58" s="24">
        <v>12</v>
      </c>
      <c r="AE58" s="24">
        <v>16</v>
      </c>
      <c r="AF58" s="24"/>
      <c r="AG58" s="351"/>
      <c r="AH58" s="351"/>
      <c r="AI58" s="45" t="s">
        <v>256</v>
      </c>
      <c r="AJ58" s="103"/>
      <c r="AK58" s="103"/>
      <c r="AL58" s="351"/>
      <c r="AM58" s="351"/>
      <c r="AN58" s="45" t="s">
        <v>384</v>
      </c>
      <c r="AO58" s="45" t="s">
        <v>657</v>
      </c>
      <c r="AP58" s="46" t="s">
        <v>6904</v>
      </c>
      <c r="AQ58" s="46" t="s">
        <v>37</v>
      </c>
      <c r="AR58" s="47">
        <v>44034</v>
      </c>
      <c r="AS58" s="46" t="s">
        <v>37</v>
      </c>
      <c r="AT58" s="365"/>
      <c r="AU58" s="1107"/>
    </row>
    <row r="59" spans="1:47" ht="27" thickBot="1" x14ac:dyDescent="0.3">
      <c r="A59" s="339"/>
      <c r="B59" s="116"/>
      <c r="C59" s="95"/>
      <c r="D59" s="567"/>
      <c r="E59" s="567"/>
      <c r="F59" s="95"/>
      <c r="G59" s="146"/>
      <c r="H59" s="108"/>
      <c r="I59" s="122"/>
      <c r="J59" s="190">
        <v>59</v>
      </c>
      <c r="K59" s="357" t="s">
        <v>385</v>
      </c>
      <c r="L59" s="912">
        <v>1586438.7537</v>
      </c>
      <c r="M59" s="912">
        <v>5371205.4554000003</v>
      </c>
      <c r="N59" s="196"/>
      <c r="O59" s="107" t="s">
        <v>688</v>
      </c>
      <c r="P59" s="107" t="s">
        <v>61</v>
      </c>
      <c r="Q59" s="196"/>
      <c r="R59" s="196"/>
      <c r="S59" s="196"/>
      <c r="T59" s="107" t="s">
        <v>4692</v>
      </c>
      <c r="U59" s="104" t="s">
        <v>85</v>
      </c>
      <c r="V59" s="25" t="s">
        <v>85</v>
      </c>
      <c r="W59" s="25" t="s">
        <v>85</v>
      </c>
      <c r="X59" s="120" t="s">
        <v>61</v>
      </c>
      <c r="Y59" s="120" t="s">
        <v>386</v>
      </c>
      <c r="Z59" s="52" t="s">
        <v>277</v>
      </c>
      <c r="AA59" s="120" t="s">
        <v>419</v>
      </c>
      <c r="AB59" s="120" t="s">
        <v>387</v>
      </c>
      <c r="AC59" s="25">
        <v>18</v>
      </c>
      <c r="AD59" s="25">
        <v>16</v>
      </c>
      <c r="AE59" s="25">
        <v>20</v>
      </c>
      <c r="AF59" s="25"/>
      <c r="AG59" s="386"/>
      <c r="AH59" s="386"/>
      <c r="AI59" s="51" t="s">
        <v>256</v>
      </c>
      <c r="AJ59" s="105"/>
      <c r="AK59" s="105"/>
      <c r="AL59" s="386"/>
      <c r="AM59" s="386"/>
      <c r="AN59" s="51" t="s">
        <v>384</v>
      </c>
      <c r="AO59" s="51" t="s">
        <v>657</v>
      </c>
      <c r="AP59" s="52" t="s">
        <v>6904</v>
      </c>
      <c r="AQ59" s="52" t="s">
        <v>37</v>
      </c>
      <c r="AR59" s="53">
        <v>44034</v>
      </c>
      <c r="AS59" s="52" t="s">
        <v>37</v>
      </c>
      <c r="AT59" s="367"/>
      <c r="AU59" s="653"/>
    </row>
    <row r="60" spans="1:47" ht="27" thickBot="1" x14ac:dyDescent="0.3">
      <c r="A60" s="339"/>
      <c r="B60" s="116"/>
      <c r="C60" s="95"/>
      <c r="D60" s="567"/>
      <c r="E60" s="567"/>
      <c r="F60" s="95"/>
      <c r="G60" s="146"/>
      <c r="H60" s="108"/>
      <c r="I60" s="122"/>
      <c r="J60" s="89">
        <v>56</v>
      </c>
      <c r="K60" s="396" t="s">
        <v>372</v>
      </c>
      <c r="L60" s="265">
        <v>1561178.8396000001</v>
      </c>
      <c r="M60" s="265">
        <v>5350458.7966999998</v>
      </c>
      <c r="N60" s="333"/>
      <c r="O60" s="109" t="s">
        <v>689</v>
      </c>
      <c r="P60" s="84" t="s">
        <v>5</v>
      </c>
      <c r="Q60" s="333"/>
      <c r="R60" s="333"/>
      <c r="S60" s="333"/>
      <c r="T60" s="109" t="s">
        <v>444</v>
      </c>
      <c r="U60" s="85" t="s">
        <v>85</v>
      </c>
      <c r="V60" s="86" t="s">
        <v>85</v>
      </c>
      <c r="W60" s="86" t="s">
        <v>85</v>
      </c>
      <c r="X60" s="86" t="s">
        <v>5</v>
      </c>
      <c r="Y60" s="86" t="s">
        <v>373</v>
      </c>
      <c r="Z60" s="92" t="s">
        <v>374</v>
      </c>
      <c r="AA60" s="197" t="s">
        <v>419</v>
      </c>
      <c r="AB60" s="86" t="s">
        <v>375</v>
      </c>
      <c r="AC60" s="86">
        <v>14</v>
      </c>
      <c r="AD60" s="86">
        <v>12</v>
      </c>
      <c r="AE60" s="86">
        <v>16</v>
      </c>
      <c r="AF60" s="86"/>
      <c r="AG60" s="387"/>
      <c r="AH60" s="387"/>
      <c r="AI60" s="94" t="s">
        <v>256</v>
      </c>
      <c r="AJ60" s="106" t="s">
        <v>13</v>
      </c>
      <c r="AK60" s="106"/>
      <c r="AL60" s="387"/>
      <c r="AM60" s="387"/>
      <c r="AN60" s="94" t="s">
        <v>443</v>
      </c>
      <c r="AO60" s="94" t="s">
        <v>657</v>
      </c>
      <c r="AP60" s="92" t="s">
        <v>377</v>
      </c>
      <c r="AQ60" s="92" t="s">
        <v>37</v>
      </c>
      <c r="AR60" s="93">
        <v>44032</v>
      </c>
      <c r="AS60" s="92" t="s">
        <v>37</v>
      </c>
      <c r="AT60" s="368"/>
      <c r="AU60" s="1108"/>
    </row>
    <row r="61" spans="1:47" ht="52.5" thickBot="1" x14ac:dyDescent="0.3">
      <c r="A61" s="336"/>
      <c r="B61" s="196"/>
      <c r="C61" s="96"/>
      <c r="D61" s="566"/>
      <c r="E61" s="566"/>
      <c r="F61" s="96"/>
      <c r="G61" s="147"/>
      <c r="H61" s="107"/>
      <c r="I61" s="123"/>
      <c r="J61" s="96">
        <v>16</v>
      </c>
      <c r="K61" s="357" t="s">
        <v>176</v>
      </c>
      <c r="L61" s="912">
        <v>1536133.1491</v>
      </c>
      <c r="M61" s="912">
        <v>5311146.7717000004</v>
      </c>
      <c r="N61" s="107"/>
      <c r="O61" s="107" t="s">
        <v>177</v>
      </c>
      <c r="P61" s="107" t="s">
        <v>61</v>
      </c>
      <c r="Q61" s="107"/>
      <c r="R61" s="107"/>
      <c r="S61" s="107"/>
      <c r="T61" s="107" t="s">
        <v>178</v>
      </c>
      <c r="U61" s="104" t="s">
        <v>10</v>
      </c>
      <c r="V61" s="25" t="s">
        <v>10</v>
      </c>
      <c r="W61" s="25" t="s">
        <v>10</v>
      </c>
      <c r="X61" s="120" t="s">
        <v>61</v>
      </c>
      <c r="Y61" s="120" t="s">
        <v>179</v>
      </c>
      <c r="Z61" s="52" t="s">
        <v>180</v>
      </c>
      <c r="AA61" s="156" t="s">
        <v>439</v>
      </c>
      <c r="AB61" s="25" t="s">
        <v>690</v>
      </c>
      <c r="AC61" s="25"/>
      <c r="AD61" s="25">
        <v>1.095</v>
      </c>
      <c r="AE61" s="25">
        <v>1.2749999999999999</v>
      </c>
      <c r="AF61" s="25"/>
      <c r="AG61" s="386"/>
      <c r="AH61" s="386"/>
      <c r="AI61" s="51" t="s">
        <v>549</v>
      </c>
      <c r="AJ61" s="105" t="s">
        <v>66</v>
      </c>
      <c r="AK61" s="105"/>
      <c r="AL61" s="386"/>
      <c r="AM61" s="386"/>
      <c r="AN61" s="52" t="s">
        <v>7543</v>
      </c>
      <c r="AO61" s="52" t="s">
        <v>183</v>
      </c>
      <c r="AP61" s="52" t="s">
        <v>6905</v>
      </c>
      <c r="AQ61" s="52" t="s">
        <v>37</v>
      </c>
      <c r="AR61" s="53">
        <v>43999</v>
      </c>
      <c r="AS61" s="52" t="s">
        <v>37</v>
      </c>
      <c r="AT61" s="367"/>
      <c r="AU61" s="653"/>
    </row>
    <row r="62" spans="1:47" s="8" customFormat="1" ht="39.75" thickBot="1" x14ac:dyDescent="0.3">
      <c r="A62" s="648" t="s">
        <v>2272</v>
      </c>
      <c r="B62" s="598" t="s">
        <v>5010</v>
      </c>
      <c r="C62" s="248">
        <v>329</v>
      </c>
      <c r="D62" s="598" t="s">
        <v>52</v>
      </c>
      <c r="E62" s="598" t="s">
        <v>53</v>
      </c>
      <c r="F62" s="426" t="s">
        <v>567</v>
      </c>
      <c r="G62" s="426" t="s">
        <v>1973</v>
      </c>
      <c r="H62" s="484" t="s">
        <v>5014</v>
      </c>
      <c r="I62" s="485" t="s">
        <v>5015</v>
      </c>
      <c r="J62" s="425">
        <v>1330</v>
      </c>
      <c r="K62" s="472" t="s">
        <v>4998</v>
      </c>
      <c r="L62" s="917">
        <v>1750161.6425999999</v>
      </c>
      <c r="M62" s="917">
        <v>5428203.3969999999</v>
      </c>
      <c r="N62" s="426"/>
      <c r="O62" s="426" t="s">
        <v>4999</v>
      </c>
      <c r="P62" s="426" t="s">
        <v>194</v>
      </c>
      <c r="Q62" s="484"/>
      <c r="R62" s="426" t="s">
        <v>5000</v>
      </c>
      <c r="S62" s="484"/>
      <c r="T62" s="536" t="s">
        <v>5011</v>
      </c>
      <c r="U62" s="452" t="s">
        <v>16</v>
      </c>
      <c r="V62" s="176" t="s">
        <v>16</v>
      </c>
      <c r="W62" s="176" t="s">
        <v>16</v>
      </c>
      <c r="X62" s="197" t="s">
        <v>194</v>
      </c>
      <c r="Y62" s="307" t="s">
        <v>5001</v>
      </c>
      <c r="Z62" s="92" t="s">
        <v>6013</v>
      </c>
      <c r="AA62" s="197"/>
      <c r="AB62" s="293">
        <v>10</v>
      </c>
      <c r="AC62" s="197">
        <v>10</v>
      </c>
      <c r="AD62" s="197">
        <v>8.5</v>
      </c>
      <c r="AE62" s="197">
        <v>11.5</v>
      </c>
      <c r="AF62" s="197"/>
      <c r="AG62" s="197"/>
      <c r="AH62" s="197"/>
      <c r="AI62" s="94" t="s">
        <v>549</v>
      </c>
      <c r="AJ62" s="197"/>
      <c r="AK62" s="197"/>
      <c r="AL62" s="197"/>
      <c r="AM62" s="197"/>
      <c r="AN62" s="94" t="s">
        <v>5002</v>
      </c>
      <c r="AO62" s="94" t="s">
        <v>5003</v>
      </c>
      <c r="AP62" s="292" t="s">
        <v>5004</v>
      </c>
      <c r="AQ62" s="292" t="s">
        <v>1380</v>
      </c>
      <c r="AR62" s="291">
        <v>44075</v>
      </c>
      <c r="AS62" s="292" t="s">
        <v>1380</v>
      </c>
      <c r="AT62" s="377">
        <v>44251</v>
      </c>
      <c r="AU62" s="378" t="s">
        <v>37</v>
      </c>
    </row>
    <row r="63" spans="1:47" s="135" customFormat="1" ht="39.75" thickBot="1" x14ac:dyDescent="0.3">
      <c r="A63" s="1036" t="s">
        <v>2093</v>
      </c>
      <c r="B63" s="537" t="s">
        <v>2093</v>
      </c>
      <c r="C63" s="210">
        <v>722</v>
      </c>
      <c r="D63" s="587" t="s">
        <v>52</v>
      </c>
      <c r="E63" s="587" t="s">
        <v>53</v>
      </c>
      <c r="F63" s="210" t="s">
        <v>5930</v>
      </c>
      <c r="G63" s="385" t="s">
        <v>1973</v>
      </c>
      <c r="H63" s="264" t="s">
        <v>2276</v>
      </c>
      <c r="I63" s="537" t="s">
        <v>150</v>
      </c>
      <c r="J63" s="263">
        <v>285</v>
      </c>
      <c r="K63" s="467" t="s">
        <v>2094</v>
      </c>
      <c r="L63" s="918">
        <v>1390567.3654</v>
      </c>
      <c r="M63" s="918">
        <v>5049710.7067999998</v>
      </c>
      <c r="N63" s="264"/>
      <c r="O63" s="264" t="s">
        <v>2095</v>
      </c>
      <c r="P63" s="210" t="s">
        <v>194</v>
      </c>
      <c r="Q63" s="1080"/>
      <c r="R63" s="1080"/>
      <c r="S63" s="1080"/>
      <c r="T63" s="264" t="s">
        <v>2096</v>
      </c>
      <c r="U63" s="206" t="s">
        <v>16</v>
      </c>
      <c r="V63" s="204" t="s">
        <v>16</v>
      </c>
      <c r="W63" s="204" t="s">
        <v>16</v>
      </c>
      <c r="X63" s="204" t="s">
        <v>194</v>
      </c>
      <c r="Y63" s="205" t="s">
        <v>2097</v>
      </c>
      <c r="Z63" s="208" t="s">
        <v>289</v>
      </c>
      <c r="AA63" s="204">
        <v>1</v>
      </c>
      <c r="AB63" s="176" t="s">
        <v>2098</v>
      </c>
      <c r="AC63" s="204"/>
      <c r="AD63" s="204">
        <v>14</v>
      </c>
      <c r="AE63" s="204">
        <v>30</v>
      </c>
      <c r="AF63" s="204"/>
      <c r="AG63" s="204"/>
      <c r="AH63" s="204"/>
      <c r="AI63" s="207" t="s">
        <v>256</v>
      </c>
      <c r="AJ63" s="205"/>
      <c r="AK63" s="205"/>
      <c r="AL63" s="353"/>
      <c r="AM63" s="353"/>
      <c r="AN63" s="207" t="s">
        <v>2099</v>
      </c>
      <c r="AO63" s="208" t="s">
        <v>2100</v>
      </c>
      <c r="AP63" s="208" t="s">
        <v>2061</v>
      </c>
      <c r="AQ63" s="208" t="s">
        <v>37</v>
      </c>
      <c r="AR63" s="209">
        <v>44111</v>
      </c>
      <c r="AS63" s="208" t="s">
        <v>37</v>
      </c>
      <c r="AT63" s="364"/>
      <c r="AU63" s="1109"/>
    </row>
    <row r="64" spans="1:47" s="551" customFormat="1" ht="64.5" x14ac:dyDescent="0.25">
      <c r="A64" s="808" t="s">
        <v>5942</v>
      </c>
      <c r="B64" s="550" t="s">
        <v>5942</v>
      </c>
      <c r="C64" s="161">
        <v>181</v>
      </c>
      <c r="D64" s="573" t="s">
        <v>57</v>
      </c>
      <c r="E64" s="573"/>
      <c r="F64" s="161" t="s">
        <v>4679</v>
      </c>
      <c r="G64" s="600" t="s">
        <v>1238</v>
      </c>
      <c r="H64" s="163" t="s">
        <v>5964</v>
      </c>
      <c r="I64" s="550" t="s">
        <v>6096</v>
      </c>
      <c r="J64" s="194">
        <v>905</v>
      </c>
      <c r="K64" s="434" t="s">
        <v>6014</v>
      </c>
      <c r="L64" s="919">
        <v>1934224.5937999999</v>
      </c>
      <c r="M64" s="919">
        <v>5794428.4112999998</v>
      </c>
      <c r="N64" s="163"/>
      <c r="O64" s="163" t="s">
        <v>5968</v>
      </c>
      <c r="P64" s="161" t="s">
        <v>193</v>
      </c>
      <c r="Q64" s="163"/>
      <c r="R64" s="163"/>
      <c r="S64" s="163"/>
      <c r="T64" s="163" t="s">
        <v>5968</v>
      </c>
      <c r="U64" s="138" t="s">
        <v>10</v>
      </c>
      <c r="V64" s="136" t="s">
        <v>16</v>
      </c>
      <c r="W64" s="136" t="s">
        <v>16</v>
      </c>
      <c r="X64" s="136" t="s">
        <v>194</v>
      </c>
      <c r="Y64" s="136" t="s">
        <v>5965</v>
      </c>
      <c r="Z64" s="137" t="s">
        <v>5966</v>
      </c>
      <c r="AA64" s="136">
        <v>1</v>
      </c>
      <c r="AB64" s="132" t="s">
        <v>5967</v>
      </c>
      <c r="AC64" s="136">
        <v>1.177</v>
      </c>
      <c r="AD64" s="136">
        <v>0.624</v>
      </c>
      <c r="AE64" s="136">
        <v>1.73</v>
      </c>
      <c r="AF64" s="136"/>
      <c r="AG64" s="350"/>
      <c r="AH64" s="350"/>
      <c r="AI64" s="180" t="s">
        <v>256</v>
      </c>
      <c r="AJ64" s="173"/>
      <c r="AK64" s="173"/>
      <c r="AL64" s="350"/>
      <c r="AM64" s="350"/>
      <c r="AN64" s="180" t="s">
        <v>6084</v>
      </c>
      <c r="AO64" s="137" t="s">
        <v>6114</v>
      </c>
      <c r="AP64" s="137" t="s">
        <v>5969</v>
      </c>
      <c r="AQ64" s="137" t="s">
        <v>37</v>
      </c>
      <c r="AR64" s="139">
        <v>44313</v>
      </c>
      <c r="AS64" s="137"/>
      <c r="AT64" s="358"/>
      <c r="AU64" s="1110"/>
    </row>
    <row r="65" spans="1:47" s="551" customFormat="1" ht="39" x14ac:dyDescent="0.25">
      <c r="A65" s="808"/>
      <c r="B65" s="550"/>
      <c r="C65" s="161"/>
      <c r="D65" s="573"/>
      <c r="E65" s="573"/>
      <c r="F65" s="161"/>
      <c r="G65" s="561"/>
      <c r="H65" s="163"/>
      <c r="I65" s="550"/>
      <c r="J65" s="194">
        <v>906</v>
      </c>
      <c r="K65" s="434" t="s">
        <v>6015</v>
      </c>
      <c r="L65" s="919">
        <v>1933475.9517999999</v>
      </c>
      <c r="M65" s="919">
        <v>5793882.6025999999</v>
      </c>
      <c r="N65" s="163"/>
      <c r="O65" s="163" t="s">
        <v>6020</v>
      </c>
      <c r="P65" s="161" t="s">
        <v>193</v>
      </c>
      <c r="Q65" s="163"/>
      <c r="R65" s="163"/>
      <c r="S65" s="163"/>
      <c r="T65" s="163" t="s">
        <v>6020</v>
      </c>
      <c r="U65" s="138" t="s">
        <v>10</v>
      </c>
      <c r="V65" s="136" t="s">
        <v>16</v>
      </c>
      <c r="W65" s="136" t="s">
        <v>16</v>
      </c>
      <c r="X65" s="136" t="s">
        <v>194</v>
      </c>
      <c r="Y65" s="136" t="s">
        <v>6061</v>
      </c>
      <c r="Z65" s="137" t="s">
        <v>5966</v>
      </c>
      <c r="AA65" s="136">
        <v>1</v>
      </c>
      <c r="AB65" s="132" t="s">
        <v>5967</v>
      </c>
      <c r="AC65" s="136">
        <v>1.177</v>
      </c>
      <c r="AD65" s="136">
        <v>0.624</v>
      </c>
      <c r="AE65" s="136">
        <v>1.73</v>
      </c>
      <c r="AF65" s="136"/>
      <c r="AG65" s="350"/>
      <c r="AH65" s="350"/>
      <c r="AI65" s="180" t="s">
        <v>256</v>
      </c>
      <c r="AJ65" s="173"/>
      <c r="AK65" s="173"/>
      <c r="AL65" s="350"/>
      <c r="AM65" s="350"/>
      <c r="AN65" s="180" t="s">
        <v>6084</v>
      </c>
      <c r="AO65" s="137" t="s">
        <v>6114</v>
      </c>
      <c r="AP65" s="137" t="s">
        <v>5969</v>
      </c>
      <c r="AQ65" s="137" t="s">
        <v>37</v>
      </c>
      <c r="AR65" s="139">
        <v>44314</v>
      </c>
      <c r="AS65" s="137"/>
      <c r="AT65" s="358"/>
      <c r="AU65" s="1110"/>
    </row>
    <row r="66" spans="1:47" s="551" customFormat="1" ht="39" x14ac:dyDescent="0.25">
      <c r="A66" s="808"/>
      <c r="B66" s="550"/>
      <c r="C66" s="161"/>
      <c r="D66" s="573"/>
      <c r="E66" s="573"/>
      <c r="F66" s="161"/>
      <c r="G66" s="561"/>
      <c r="H66" s="163"/>
      <c r="I66" s="550"/>
      <c r="J66" s="194">
        <v>907</v>
      </c>
      <c r="K66" s="434" t="s">
        <v>6016</v>
      </c>
      <c r="L66" s="919">
        <v>1934671.8099</v>
      </c>
      <c r="M66" s="919">
        <v>5794690.6787</v>
      </c>
      <c r="N66" s="163"/>
      <c r="O66" s="163" t="s">
        <v>6021</v>
      </c>
      <c r="P66" s="161" t="s">
        <v>193</v>
      </c>
      <c r="Q66" s="163"/>
      <c r="R66" s="163"/>
      <c r="S66" s="163"/>
      <c r="T66" s="163" t="s">
        <v>6021</v>
      </c>
      <c r="U66" s="138" t="s">
        <v>10</v>
      </c>
      <c r="V66" s="136" t="s">
        <v>16</v>
      </c>
      <c r="W66" s="136" t="s">
        <v>16</v>
      </c>
      <c r="X66" s="136" t="s">
        <v>194</v>
      </c>
      <c r="Y66" s="136" t="s">
        <v>6062</v>
      </c>
      <c r="Z66" s="137" t="s">
        <v>5966</v>
      </c>
      <c r="AA66" s="136">
        <v>1</v>
      </c>
      <c r="AB66" s="132" t="s">
        <v>5967</v>
      </c>
      <c r="AC66" s="136">
        <v>1.177</v>
      </c>
      <c r="AD66" s="136">
        <v>0.624</v>
      </c>
      <c r="AE66" s="136">
        <v>1.73</v>
      </c>
      <c r="AF66" s="136"/>
      <c r="AG66" s="350"/>
      <c r="AH66" s="350"/>
      <c r="AI66" s="180" t="s">
        <v>256</v>
      </c>
      <c r="AJ66" s="173"/>
      <c r="AK66" s="173"/>
      <c r="AL66" s="350"/>
      <c r="AM66" s="350"/>
      <c r="AN66" s="180" t="s">
        <v>6084</v>
      </c>
      <c r="AO66" s="137" t="s">
        <v>6114</v>
      </c>
      <c r="AP66" s="137" t="s">
        <v>5969</v>
      </c>
      <c r="AQ66" s="137" t="s">
        <v>37</v>
      </c>
      <c r="AR66" s="139">
        <v>44314</v>
      </c>
      <c r="AS66" s="137"/>
      <c r="AT66" s="358"/>
      <c r="AU66" s="1110"/>
    </row>
    <row r="67" spans="1:47" s="551" customFormat="1" ht="39" x14ac:dyDescent="0.25">
      <c r="A67" s="808"/>
      <c r="B67" s="550"/>
      <c r="C67" s="161"/>
      <c r="D67" s="573"/>
      <c r="E67" s="573"/>
      <c r="F67" s="161"/>
      <c r="G67" s="561"/>
      <c r="H67" s="163"/>
      <c r="I67" s="550"/>
      <c r="J67" s="194">
        <v>908</v>
      </c>
      <c r="K67" s="434" t="s">
        <v>6017</v>
      </c>
      <c r="L67" s="919">
        <v>1932133.0674999999</v>
      </c>
      <c r="M67" s="919">
        <v>5793327.1190999998</v>
      </c>
      <c r="N67" s="163"/>
      <c r="O67" s="163" t="s">
        <v>6022</v>
      </c>
      <c r="P67" s="161" t="s">
        <v>193</v>
      </c>
      <c r="Q67" s="163"/>
      <c r="R67" s="163"/>
      <c r="S67" s="163"/>
      <c r="T67" s="163" t="s">
        <v>6022</v>
      </c>
      <c r="U67" s="138" t="s">
        <v>10</v>
      </c>
      <c r="V67" s="136" t="s">
        <v>16</v>
      </c>
      <c r="W67" s="136" t="s">
        <v>16</v>
      </c>
      <c r="X67" s="136" t="s">
        <v>194</v>
      </c>
      <c r="Y67" s="136" t="s">
        <v>6063</v>
      </c>
      <c r="Z67" s="137" t="s">
        <v>5966</v>
      </c>
      <c r="AA67" s="136">
        <v>1</v>
      </c>
      <c r="AB67" s="132" t="s">
        <v>5967</v>
      </c>
      <c r="AC67" s="136">
        <v>1.177</v>
      </c>
      <c r="AD67" s="136">
        <v>0.624</v>
      </c>
      <c r="AE67" s="136">
        <v>1.73</v>
      </c>
      <c r="AF67" s="136"/>
      <c r="AG67" s="350"/>
      <c r="AH67" s="350"/>
      <c r="AI67" s="180" t="s">
        <v>256</v>
      </c>
      <c r="AJ67" s="173"/>
      <c r="AK67" s="173"/>
      <c r="AL67" s="350"/>
      <c r="AM67" s="350"/>
      <c r="AN67" s="180" t="s">
        <v>6084</v>
      </c>
      <c r="AO67" s="137" t="s">
        <v>6114</v>
      </c>
      <c r="AP67" s="137" t="s">
        <v>5969</v>
      </c>
      <c r="AQ67" s="137" t="s">
        <v>37</v>
      </c>
      <c r="AR67" s="139">
        <v>44314</v>
      </c>
      <c r="AS67" s="137"/>
      <c r="AT67" s="358"/>
      <c r="AU67" s="1110"/>
    </row>
    <row r="68" spans="1:47" s="551" customFormat="1" ht="39" x14ac:dyDescent="0.25">
      <c r="A68" s="808"/>
      <c r="B68" s="550"/>
      <c r="C68" s="161"/>
      <c r="D68" s="573"/>
      <c r="E68" s="573"/>
      <c r="F68" s="161"/>
      <c r="G68" s="561"/>
      <c r="H68" s="163"/>
      <c r="I68" s="550"/>
      <c r="J68" s="194">
        <v>909</v>
      </c>
      <c r="K68" s="434" t="s">
        <v>6018</v>
      </c>
      <c r="L68" s="919">
        <v>1933721.6033999999</v>
      </c>
      <c r="M68" s="919">
        <v>5794114.0085000005</v>
      </c>
      <c r="N68" s="163"/>
      <c r="O68" s="163" t="s">
        <v>6023</v>
      </c>
      <c r="P68" s="161" t="s">
        <v>193</v>
      </c>
      <c r="Q68" s="163"/>
      <c r="R68" s="163"/>
      <c r="S68" s="163"/>
      <c r="T68" s="163" t="s">
        <v>6023</v>
      </c>
      <c r="U68" s="138" t="s">
        <v>10</v>
      </c>
      <c r="V68" s="136" t="s">
        <v>16</v>
      </c>
      <c r="W68" s="136" t="s">
        <v>16</v>
      </c>
      <c r="X68" s="136" t="s">
        <v>194</v>
      </c>
      <c r="Y68" s="136" t="s">
        <v>6064</v>
      </c>
      <c r="Z68" s="137" t="s">
        <v>5966</v>
      </c>
      <c r="AA68" s="136">
        <v>1</v>
      </c>
      <c r="AB68" s="132" t="s">
        <v>5967</v>
      </c>
      <c r="AC68" s="136">
        <v>1.177</v>
      </c>
      <c r="AD68" s="136">
        <v>0.624</v>
      </c>
      <c r="AE68" s="136">
        <v>1.73</v>
      </c>
      <c r="AF68" s="136"/>
      <c r="AG68" s="350"/>
      <c r="AH68" s="350"/>
      <c r="AI68" s="180" t="s">
        <v>256</v>
      </c>
      <c r="AJ68" s="173"/>
      <c r="AK68" s="173"/>
      <c r="AL68" s="350"/>
      <c r="AM68" s="350"/>
      <c r="AN68" s="180" t="s">
        <v>6084</v>
      </c>
      <c r="AO68" s="137" t="s">
        <v>6114</v>
      </c>
      <c r="AP68" s="137" t="s">
        <v>5969</v>
      </c>
      <c r="AQ68" s="137" t="s">
        <v>37</v>
      </c>
      <c r="AR68" s="139">
        <v>44314</v>
      </c>
      <c r="AS68" s="137"/>
      <c r="AT68" s="358"/>
      <c r="AU68" s="1110"/>
    </row>
    <row r="69" spans="1:47" s="551" customFormat="1" ht="39.75" thickBot="1" x14ac:dyDescent="0.3">
      <c r="A69" s="808"/>
      <c r="B69" s="550"/>
      <c r="C69" s="161"/>
      <c r="D69" s="573"/>
      <c r="E69" s="573"/>
      <c r="F69" s="161"/>
      <c r="G69" s="561"/>
      <c r="H69" s="163"/>
      <c r="I69" s="550"/>
      <c r="J69" s="194">
        <v>910</v>
      </c>
      <c r="K69" s="434" t="s">
        <v>6019</v>
      </c>
      <c r="L69" s="919">
        <v>1934055.7886000001</v>
      </c>
      <c r="M69" s="919">
        <v>5794365.9578</v>
      </c>
      <c r="N69" s="163"/>
      <c r="O69" s="163" t="s">
        <v>6024</v>
      </c>
      <c r="P69" s="161" t="s">
        <v>193</v>
      </c>
      <c r="Q69" s="163"/>
      <c r="R69" s="163"/>
      <c r="S69" s="163"/>
      <c r="T69" s="163" t="s">
        <v>6024</v>
      </c>
      <c r="U69" s="138" t="s">
        <v>10</v>
      </c>
      <c r="V69" s="136" t="s">
        <v>16</v>
      </c>
      <c r="W69" s="136" t="s">
        <v>16</v>
      </c>
      <c r="X69" s="136" t="s">
        <v>194</v>
      </c>
      <c r="Y69" s="136" t="s">
        <v>6065</v>
      </c>
      <c r="Z69" s="137" t="s">
        <v>5966</v>
      </c>
      <c r="AA69" s="136">
        <v>1</v>
      </c>
      <c r="AB69" s="132" t="s">
        <v>5967</v>
      </c>
      <c r="AC69" s="136">
        <v>1.177</v>
      </c>
      <c r="AD69" s="136">
        <v>0.624</v>
      </c>
      <c r="AE69" s="136">
        <v>1.73</v>
      </c>
      <c r="AF69" s="136"/>
      <c r="AG69" s="350"/>
      <c r="AH69" s="350"/>
      <c r="AI69" s="180" t="s">
        <v>256</v>
      </c>
      <c r="AJ69" s="173"/>
      <c r="AK69" s="173"/>
      <c r="AL69" s="350"/>
      <c r="AM69" s="350"/>
      <c r="AN69" s="180" t="s">
        <v>6084</v>
      </c>
      <c r="AO69" s="137" t="s">
        <v>6114</v>
      </c>
      <c r="AP69" s="137" t="s">
        <v>5969</v>
      </c>
      <c r="AQ69" s="137" t="s">
        <v>37</v>
      </c>
      <c r="AR69" s="139">
        <v>44314</v>
      </c>
      <c r="AS69" s="137"/>
      <c r="AT69" s="358"/>
      <c r="AU69" s="1110"/>
    </row>
    <row r="70" spans="1:47" s="8" customFormat="1" ht="39.75" thickBot="1" x14ac:dyDescent="0.3">
      <c r="A70" s="341" t="s">
        <v>1441</v>
      </c>
      <c r="B70" s="181" t="s">
        <v>6800</v>
      </c>
      <c r="C70" s="125">
        <v>540</v>
      </c>
      <c r="D70" s="181" t="s">
        <v>53</v>
      </c>
      <c r="E70" s="181" t="s">
        <v>52</v>
      </c>
      <c r="F70" s="126" t="s">
        <v>1440</v>
      </c>
      <c r="G70" s="126" t="s">
        <v>1972</v>
      </c>
      <c r="H70" s="255" t="s">
        <v>1417</v>
      </c>
      <c r="I70" s="297" t="s">
        <v>5016</v>
      </c>
      <c r="J70" s="89">
        <v>1142</v>
      </c>
      <c r="K70" s="396" t="s">
        <v>1439</v>
      </c>
      <c r="L70" s="908">
        <v>1684645.2252</v>
      </c>
      <c r="M70" s="908">
        <v>5389949.2549999999</v>
      </c>
      <c r="N70" s="109"/>
      <c r="O70" s="109" t="s">
        <v>1438</v>
      </c>
      <c r="P70" s="109" t="s">
        <v>5</v>
      </c>
      <c r="Q70" s="296" t="s">
        <v>1437</v>
      </c>
      <c r="R70" s="296"/>
      <c r="S70" s="296"/>
      <c r="T70" s="295" t="s">
        <v>5009</v>
      </c>
      <c r="U70" s="294" t="s">
        <v>16</v>
      </c>
      <c r="V70" s="197" t="s">
        <v>16</v>
      </c>
      <c r="W70" s="197" t="s">
        <v>16</v>
      </c>
      <c r="X70" s="197" t="s">
        <v>5</v>
      </c>
      <c r="Y70" s="293" t="s">
        <v>1436</v>
      </c>
      <c r="Z70" s="92" t="s">
        <v>1435</v>
      </c>
      <c r="AA70" s="197"/>
      <c r="AB70" s="293" t="s">
        <v>1434</v>
      </c>
      <c r="AC70" s="197" t="s">
        <v>1433</v>
      </c>
      <c r="AD70" s="197">
        <v>13.8</v>
      </c>
      <c r="AE70" s="197">
        <v>16.399999999999999</v>
      </c>
      <c r="AF70" s="197"/>
      <c r="AG70" s="197"/>
      <c r="AH70" s="197"/>
      <c r="AI70" s="94" t="s">
        <v>256</v>
      </c>
      <c r="AJ70" s="197"/>
      <c r="AK70" s="197"/>
      <c r="AL70" s="197"/>
      <c r="AM70" s="197"/>
      <c r="AN70" s="94" t="s">
        <v>1432</v>
      </c>
      <c r="AO70" s="94" t="s">
        <v>1431</v>
      </c>
      <c r="AP70" s="292" t="s">
        <v>1381</v>
      </c>
      <c r="AQ70" s="292" t="s">
        <v>1380</v>
      </c>
      <c r="AR70" s="291">
        <v>44096</v>
      </c>
      <c r="AS70" s="292" t="s">
        <v>1380</v>
      </c>
      <c r="AT70" s="291">
        <v>44095</v>
      </c>
      <c r="AU70" s="290" t="s">
        <v>37</v>
      </c>
    </row>
    <row r="71" spans="1:47" s="8" customFormat="1" ht="39" x14ac:dyDescent="0.25">
      <c r="A71" s="339"/>
      <c r="B71" s="116"/>
      <c r="C71" s="95"/>
      <c r="D71" s="116"/>
      <c r="E71" s="116"/>
      <c r="F71" s="108"/>
      <c r="G71" s="108"/>
      <c r="H71" s="259"/>
      <c r="I71" s="298"/>
      <c r="J71" s="191">
        <v>1143</v>
      </c>
      <c r="K71" s="356" t="s">
        <v>1430</v>
      </c>
      <c r="L71" s="920">
        <v>1682459.3714999999</v>
      </c>
      <c r="M71" s="920">
        <v>5387875.8556000004</v>
      </c>
      <c r="N71" s="276"/>
      <c r="O71" s="276" t="s">
        <v>1418</v>
      </c>
      <c r="P71" s="276" t="s">
        <v>5</v>
      </c>
      <c r="Q71" s="275"/>
      <c r="R71" s="275"/>
      <c r="S71" s="275"/>
      <c r="T71" s="275" t="s">
        <v>9220</v>
      </c>
      <c r="U71" s="282" t="s">
        <v>16</v>
      </c>
      <c r="V71" s="185" t="s">
        <v>16</v>
      </c>
      <c r="W71" s="185" t="s">
        <v>16</v>
      </c>
      <c r="X71" s="185" t="s">
        <v>5</v>
      </c>
      <c r="Y71" s="281" t="s">
        <v>1429</v>
      </c>
      <c r="Z71" s="3" t="s">
        <v>1415</v>
      </c>
      <c r="AA71" s="185"/>
      <c r="AB71" s="281">
        <v>21</v>
      </c>
      <c r="AC71" s="185"/>
      <c r="AD71" s="185"/>
      <c r="AE71" s="185"/>
      <c r="AF71" s="185"/>
      <c r="AG71" s="185"/>
      <c r="AH71" s="185"/>
      <c r="AI71" s="16" t="s">
        <v>549</v>
      </c>
      <c r="AJ71" s="185"/>
      <c r="AK71" s="185"/>
      <c r="AL71" s="185"/>
      <c r="AM71" s="185"/>
      <c r="AN71" s="16" t="s">
        <v>1428</v>
      </c>
      <c r="AO71" s="16" t="s">
        <v>6910</v>
      </c>
      <c r="AP71" s="280" t="s">
        <v>6909</v>
      </c>
      <c r="AQ71" s="280" t="s">
        <v>1380</v>
      </c>
      <c r="AR71" s="279">
        <v>44096</v>
      </c>
      <c r="AS71" s="280" t="s">
        <v>1380</v>
      </c>
      <c r="AT71" s="279">
        <v>44095</v>
      </c>
      <c r="AU71" s="278" t="s">
        <v>37</v>
      </c>
    </row>
    <row r="72" spans="1:47" s="8" customFormat="1" ht="51.75" x14ac:dyDescent="0.25">
      <c r="A72" s="339"/>
      <c r="B72" s="116"/>
      <c r="C72" s="95"/>
      <c r="D72" s="116"/>
      <c r="E72" s="116"/>
      <c r="F72" s="108"/>
      <c r="G72" s="108"/>
      <c r="H72" s="259"/>
      <c r="I72" s="298"/>
      <c r="J72" s="191">
        <v>1144</v>
      </c>
      <c r="K72" s="356" t="s">
        <v>1427</v>
      </c>
      <c r="L72" s="920">
        <v>1682129.1524</v>
      </c>
      <c r="M72" s="920">
        <v>5387711.6458000001</v>
      </c>
      <c r="N72" s="276"/>
      <c r="O72" s="276" t="s">
        <v>1426</v>
      </c>
      <c r="P72" s="276" t="s">
        <v>5</v>
      </c>
      <c r="Q72" s="275"/>
      <c r="R72" s="275"/>
      <c r="S72" s="275"/>
      <c r="T72" s="275" t="s">
        <v>1425</v>
      </c>
      <c r="U72" s="282" t="s">
        <v>16</v>
      </c>
      <c r="V72" s="185" t="s">
        <v>85</v>
      </c>
      <c r="W72" s="185" t="s">
        <v>85</v>
      </c>
      <c r="X72" s="185" t="s">
        <v>61</v>
      </c>
      <c r="Y72" s="281" t="s">
        <v>1424</v>
      </c>
      <c r="Z72" s="3" t="s">
        <v>1423</v>
      </c>
      <c r="AA72" s="185"/>
      <c r="AB72" s="281" t="s">
        <v>1422</v>
      </c>
      <c r="AC72" s="185">
        <v>0.4</v>
      </c>
      <c r="AD72" s="185">
        <v>0.33</v>
      </c>
      <c r="AE72" s="185">
        <v>0.47</v>
      </c>
      <c r="AF72" s="185"/>
      <c r="AG72" s="185"/>
      <c r="AH72" s="185"/>
      <c r="AI72" s="16" t="s">
        <v>1383</v>
      </c>
      <c r="AJ72" s="185"/>
      <c r="AK72" s="185"/>
      <c r="AL72" s="185"/>
      <c r="AM72" s="185"/>
      <c r="AN72" s="16" t="s">
        <v>1421</v>
      </c>
      <c r="AO72" s="16" t="s">
        <v>1420</v>
      </c>
      <c r="AP72" s="280" t="s">
        <v>1381</v>
      </c>
      <c r="AQ72" s="280" t="s">
        <v>1380</v>
      </c>
      <c r="AR72" s="279">
        <v>44096</v>
      </c>
      <c r="AS72" s="280" t="s">
        <v>1380</v>
      </c>
      <c r="AT72" s="279">
        <v>44096</v>
      </c>
      <c r="AU72" s="278" t="s">
        <v>37</v>
      </c>
    </row>
    <row r="73" spans="1:47" s="8" customFormat="1" ht="65.25" thickBot="1" x14ac:dyDescent="0.3">
      <c r="A73" s="339"/>
      <c r="B73" s="116"/>
      <c r="C73" s="95"/>
      <c r="D73" s="116"/>
      <c r="E73" s="116"/>
      <c r="F73" s="108"/>
      <c r="G73" s="108"/>
      <c r="H73" s="259"/>
      <c r="I73" s="298"/>
      <c r="J73" s="191">
        <v>1145</v>
      </c>
      <c r="K73" s="356" t="s">
        <v>1419</v>
      </c>
      <c r="L73" s="920">
        <v>1681863.4881</v>
      </c>
      <c r="M73" s="920">
        <v>5387555.9378000004</v>
      </c>
      <c r="N73" s="276"/>
      <c r="O73" s="276" t="s">
        <v>1418</v>
      </c>
      <c r="P73" s="276" t="s">
        <v>5</v>
      </c>
      <c r="Q73" s="275"/>
      <c r="R73" s="275"/>
      <c r="S73" s="275"/>
      <c r="T73" s="275" t="s">
        <v>1417</v>
      </c>
      <c r="U73" s="282" t="s">
        <v>16</v>
      </c>
      <c r="V73" s="185" t="s">
        <v>16</v>
      </c>
      <c r="W73" s="185" t="s">
        <v>16</v>
      </c>
      <c r="X73" s="185" t="s">
        <v>61</v>
      </c>
      <c r="Y73" s="281" t="s">
        <v>1416</v>
      </c>
      <c r="Z73" s="3" t="s">
        <v>1415</v>
      </c>
      <c r="AA73" s="185"/>
      <c r="AB73" s="281">
        <v>21</v>
      </c>
      <c r="AC73" s="185"/>
      <c r="AD73" s="185"/>
      <c r="AE73" s="185"/>
      <c r="AF73" s="185"/>
      <c r="AG73" s="185"/>
      <c r="AH73" s="185"/>
      <c r="AI73" s="16" t="s">
        <v>549</v>
      </c>
      <c r="AJ73" s="185"/>
      <c r="AK73" s="185"/>
      <c r="AL73" s="185"/>
      <c r="AM73" s="185"/>
      <c r="AN73" s="16" t="s">
        <v>1414</v>
      </c>
      <c r="AO73" s="16" t="s">
        <v>6911</v>
      </c>
      <c r="AP73" s="280" t="s">
        <v>6909</v>
      </c>
      <c r="AQ73" s="280" t="s">
        <v>1380</v>
      </c>
      <c r="AR73" s="279">
        <v>44096</v>
      </c>
      <c r="AS73" s="280" t="s">
        <v>1380</v>
      </c>
      <c r="AT73" s="279">
        <v>44095</v>
      </c>
      <c r="AU73" s="278" t="s">
        <v>37</v>
      </c>
    </row>
    <row r="74" spans="1:47" s="8" customFormat="1" ht="65.25" thickBot="1" x14ac:dyDescent="0.3">
      <c r="A74" s="339"/>
      <c r="B74" s="116"/>
      <c r="C74" s="95"/>
      <c r="D74" s="116"/>
      <c r="E74" s="116"/>
      <c r="F74" s="108"/>
      <c r="G74" s="108"/>
      <c r="H74" s="259"/>
      <c r="I74" s="298"/>
      <c r="J74" s="89">
        <v>1146</v>
      </c>
      <c r="K74" s="396" t="s">
        <v>1413</v>
      </c>
      <c r="L74" s="908">
        <v>1680264.3816</v>
      </c>
      <c r="M74" s="908">
        <v>5386576.7501999997</v>
      </c>
      <c r="N74" s="109"/>
      <c r="O74" s="109" t="s">
        <v>1412</v>
      </c>
      <c r="P74" s="109" t="s">
        <v>5</v>
      </c>
      <c r="Q74" s="296"/>
      <c r="R74" s="296"/>
      <c r="S74" s="296"/>
      <c r="T74" s="295" t="s">
        <v>1411</v>
      </c>
      <c r="U74" s="294" t="s">
        <v>10</v>
      </c>
      <c r="V74" s="197" t="s">
        <v>16</v>
      </c>
      <c r="W74" s="197" t="s">
        <v>16</v>
      </c>
      <c r="X74" s="197" t="s">
        <v>61</v>
      </c>
      <c r="Y74" s="293" t="s">
        <v>1410</v>
      </c>
      <c r="Z74" s="92" t="s">
        <v>604</v>
      </c>
      <c r="AA74" s="197"/>
      <c r="AB74" s="293" t="s">
        <v>1409</v>
      </c>
      <c r="AC74" s="197">
        <v>10.5</v>
      </c>
      <c r="AD74" s="197">
        <v>8.5</v>
      </c>
      <c r="AE74" s="197">
        <v>12.5</v>
      </c>
      <c r="AF74" s="197"/>
      <c r="AG74" s="197"/>
      <c r="AH74" s="197"/>
      <c r="AI74" s="94" t="s">
        <v>256</v>
      </c>
      <c r="AJ74" s="197"/>
      <c r="AK74" s="197"/>
      <c r="AL74" s="197"/>
      <c r="AM74" s="197"/>
      <c r="AN74" s="94" t="s">
        <v>1408</v>
      </c>
      <c r="AO74" s="94" t="s">
        <v>1407</v>
      </c>
      <c r="AP74" s="292" t="s">
        <v>1381</v>
      </c>
      <c r="AQ74" s="292" t="s">
        <v>1380</v>
      </c>
      <c r="AR74" s="291">
        <v>44096</v>
      </c>
      <c r="AS74" s="292" t="s">
        <v>1380</v>
      </c>
      <c r="AT74" s="291">
        <v>44096</v>
      </c>
      <c r="AU74" s="290" t="s">
        <v>37</v>
      </c>
    </row>
    <row r="75" spans="1:47" s="8" customFormat="1" ht="52.5" thickBot="1" x14ac:dyDescent="0.3">
      <c r="A75" s="339"/>
      <c r="B75" s="116"/>
      <c r="C75" s="95"/>
      <c r="D75" s="116"/>
      <c r="E75" s="116"/>
      <c r="F75" s="108"/>
      <c r="G75" s="108"/>
      <c r="H75" s="259"/>
      <c r="I75" s="298"/>
      <c r="J75" s="189">
        <v>1147</v>
      </c>
      <c r="K75" s="355" t="s">
        <v>1406</v>
      </c>
      <c r="L75" s="897">
        <v>1675575.8953</v>
      </c>
      <c r="M75" s="897">
        <v>5382863.2481000004</v>
      </c>
      <c r="N75" s="126"/>
      <c r="O75" s="126" t="s">
        <v>1405</v>
      </c>
      <c r="P75" s="126" t="s">
        <v>5</v>
      </c>
      <c r="Q75" s="255"/>
      <c r="R75" s="255"/>
      <c r="S75" s="255"/>
      <c r="T75" s="289" t="s">
        <v>1404</v>
      </c>
      <c r="U75" s="282" t="s">
        <v>16</v>
      </c>
      <c r="V75" s="185" t="s">
        <v>16</v>
      </c>
      <c r="W75" s="185" t="s">
        <v>16</v>
      </c>
      <c r="X75" s="185" t="s">
        <v>61</v>
      </c>
      <c r="Y75" s="281" t="s">
        <v>1403</v>
      </c>
      <c r="Z75" s="3" t="s">
        <v>58</v>
      </c>
      <c r="AA75" s="185"/>
      <c r="AB75" s="281" t="s">
        <v>1384</v>
      </c>
      <c r="AC75" s="185">
        <v>15.1</v>
      </c>
      <c r="AD75" s="185">
        <v>13.8</v>
      </c>
      <c r="AE75" s="185">
        <v>16.399999999999999</v>
      </c>
      <c r="AF75" s="185"/>
      <c r="AG75" s="185"/>
      <c r="AH75" s="185"/>
      <c r="AI75" s="16" t="s">
        <v>256</v>
      </c>
      <c r="AJ75" s="185"/>
      <c r="AK75" s="185"/>
      <c r="AL75" s="185"/>
      <c r="AM75" s="185"/>
      <c r="AN75" s="16" t="s">
        <v>1402</v>
      </c>
      <c r="AO75" s="16" t="s">
        <v>5021</v>
      </c>
      <c r="AP75" s="280" t="s">
        <v>1381</v>
      </c>
      <c r="AQ75" s="280" t="s">
        <v>1380</v>
      </c>
      <c r="AR75" s="279">
        <v>44096</v>
      </c>
      <c r="AS75" s="280" t="s">
        <v>1380</v>
      </c>
      <c r="AT75" s="279">
        <v>44096</v>
      </c>
      <c r="AU75" s="278" t="s">
        <v>37</v>
      </c>
    </row>
    <row r="76" spans="1:47" s="8" customFormat="1" ht="51.75" x14ac:dyDescent="0.25">
      <c r="A76" s="339"/>
      <c r="B76" s="116"/>
      <c r="C76" s="95"/>
      <c r="D76" s="116"/>
      <c r="E76" s="116"/>
      <c r="F76" s="108"/>
      <c r="G76" s="108"/>
      <c r="H76" s="259"/>
      <c r="I76" s="298"/>
      <c r="J76" s="189">
        <v>1148</v>
      </c>
      <c r="K76" s="355" t="s">
        <v>1401</v>
      </c>
      <c r="L76" s="897">
        <v>1648237.4493</v>
      </c>
      <c r="M76" s="897">
        <v>5362122.0261000004</v>
      </c>
      <c r="N76" s="126"/>
      <c r="O76" s="126" t="s">
        <v>1400</v>
      </c>
      <c r="P76" s="126" t="s">
        <v>5</v>
      </c>
      <c r="Q76" s="255"/>
      <c r="R76" s="255"/>
      <c r="S76" s="255"/>
      <c r="T76" s="289" t="s">
        <v>1399</v>
      </c>
      <c r="U76" s="288" t="s">
        <v>10</v>
      </c>
      <c r="V76" s="97" t="s">
        <v>85</v>
      </c>
      <c r="W76" s="97" t="s">
        <v>16</v>
      </c>
      <c r="X76" s="97" t="s">
        <v>61</v>
      </c>
      <c r="Y76" s="287" t="s">
        <v>1398</v>
      </c>
      <c r="Z76" s="40" t="s">
        <v>1385</v>
      </c>
      <c r="AA76" s="97"/>
      <c r="AB76" s="287" t="s">
        <v>1397</v>
      </c>
      <c r="AC76" s="97">
        <v>2.1219999999999999</v>
      </c>
      <c r="AD76" s="97">
        <v>1.4219999999999999</v>
      </c>
      <c r="AE76" s="97">
        <v>2.8220000000000001</v>
      </c>
      <c r="AF76" s="97"/>
      <c r="AG76" s="97"/>
      <c r="AH76" s="97"/>
      <c r="AI76" s="30" t="s">
        <v>1383</v>
      </c>
      <c r="AJ76" s="97"/>
      <c r="AK76" s="97"/>
      <c r="AL76" s="97"/>
      <c r="AM76" s="97"/>
      <c r="AN76" s="30" t="s">
        <v>1396</v>
      </c>
      <c r="AO76" s="30" t="s">
        <v>6913</v>
      </c>
      <c r="AP76" s="286" t="s">
        <v>1381</v>
      </c>
      <c r="AQ76" s="286" t="s">
        <v>1380</v>
      </c>
      <c r="AR76" s="285">
        <v>44096</v>
      </c>
      <c r="AS76" s="286" t="s">
        <v>1380</v>
      </c>
      <c r="AT76" s="285">
        <v>44096</v>
      </c>
      <c r="AU76" s="284" t="s">
        <v>37</v>
      </c>
    </row>
    <row r="77" spans="1:47" s="8" customFormat="1" ht="51.75" x14ac:dyDescent="0.25">
      <c r="A77" s="339"/>
      <c r="B77" s="116"/>
      <c r="C77" s="95"/>
      <c r="D77" s="116"/>
      <c r="E77" s="116"/>
      <c r="F77" s="108"/>
      <c r="G77" s="108"/>
      <c r="H77" s="259"/>
      <c r="I77" s="298"/>
      <c r="J77" s="191">
        <v>1149</v>
      </c>
      <c r="K77" s="356" t="s">
        <v>1395</v>
      </c>
      <c r="L77" s="920">
        <v>1648310.1569000001</v>
      </c>
      <c r="M77" s="920">
        <v>5362181.8750999998</v>
      </c>
      <c r="N77" s="276"/>
      <c r="O77" s="276" t="s">
        <v>1394</v>
      </c>
      <c r="P77" s="276" t="s">
        <v>5</v>
      </c>
      <c r="Q77" s="275"/>
      <c r="R77" s="275"/>
      <c r="S77" s="275"/>
      <c r="T77" s="283" t="s">
        <v>1393</v>
      </c>
      <c r="U77" s="282" t="s">
        <v>10</v>
      </c>
      <c r="V77" s="185" t="s">
        <v>85</v>
      </c>
      <c r="W77" s="185" t="s">
        <v>16</v>
      </c>
      <c r="X77" s="185" t="s">
        <v>61</v>
      </c>
      <c r="Y77" s="281" t="s">
        <v>1392</v>
      </c>
      <c r="Z77" s="3" t="s">
        <v>1385</v>
      </c>
      <c r="AA77" s="185"/>
      <c r="AB77" s="281" t="s">
        <v>1391</v>
      </c>
      <c r="AC77" s="185">
        <v>2.4540000000000002</v>
      </c>
      <c r="AD77" s="185">
        <v>1.474</v>
      </c>
      <c r="AE77" s="185">
        <v>3.4340000000000002</v>
      </c>
      <c r="AF77" s="185"/>
      <c r="AG77" s="185"/>
      <c r="AH77" s="185"/>
      <c r="AI77" s="16" t="s">
        <v>1383</v>
      </c>
      <c r="AJ77" s="185"/>
      <c r="AK77" s="185"/>
      <c r="AL77" s="185"/>
      <c r="AM77" s="185"/>
      <c r="AN77" s="16" t="s">
        <v>1390</v>
      </c>
      <c r="AO77" s="16" t="s">
        <v>6914</v>
      </c>
      <c r="AP77" s="280" t="s">
        <v>1381</v>
      </c>
      <c r="AQ77" s="280" t="s">
        <v>1380</v>
      </c>
      <c r="AR77" s="279">
        <v>44096</v>
      </c>
      <c r="AS77" s="280" t="s">
        <v>1380</v>
      </c>
      <c r="AT77" s="279">
        <v>44096</v>
      </c>
      <c r="AU77" s="278" t="s">
        <v>37</v>
      </c>
    </row>
    <row r="78" spans="1:47" s="8" customFormat="1" ht="52.5" thickBot="1" x14ac:dyDescent="0.3">
      <c r="A78" s="336"/>
      <c r="B78" s="196"/>
      <c r="C78" s="96"/>
      <c r="D78" s="196"/>
      <c r="E78" s="196"/>
      <c r="F78" s="107"/>
      <c r="G78" s="107"/>
      <c r="H78" s="262"/>
      <c r="I78" s="299"/>
      <c r="J78" s="190">
        <v>1150</v>
      </c>
      <c r="K78" s="357" t="s">
        <v>1389</v>
      </c>
      <c r="L78" s="898">
        <v>1648443.4543000001</v>
      </c>
      <c r="M78" s="898">
        <v>5362263.5784999998</v>
      </c>
      <c r="N78" s="107"/>
      <c r="O78" s="107" t="s">
        <v>1388</v>
      </c>
      <c r="P78" s="107" t="s">
        <v>5</v>
      </c>
      <c r="Q78" s="262"/>
      <c r="R78" s="262"/>
      <c r="S78" s="262"/>
      <c r="T78" s="274" t="s">
        <v>1387</v>
      </c>
      <c r="U78" s="273" t="s">
        <v>16</v>
      </c>
      <c r="V78" s="120" t="s">
        <v>16</v>
      </c>
      <c r="W78" s="120" t="s">
        <v>16</v>
      </c>
      <c r="X78" s="120" t="s">
        <v>61</v>
      </c>
      <c r="Y78" s="272" t="s">
        <v>1386</v>
      </c>
      <c r="Z78" s="52" t="s">
        <v>1385</v>
      </c>
      <c r="AA78" s="120"/>
      <c r="AB78" s="272" t="s">
        <v>1384</v>
      </c>
      <c r="AC78" s="120">
        <v>15.1</v>
      </c>
      <c r="AD78" s="120">
        <v>13.8</v>
      </c>
      <c r="AE78" s="120">
        <v>16.399999999999999</v>
      </c>
      <c r="AF78" s="120"/>
      <c r="AG78" s="120"/>
      <c r="AH78" s="120"/>
      <c r="AI78" s="51" t="s">
        <v>1383</v>
      </c>
      <c r="AJ78" s="120"/>
      <c r="AK78" s="120"/>
      <c r="AL78" s="120"/>
      <c r="AM78" s="120"/>
      <c r="AN78" s="51" t="s">
        <v>1382</v>
      </c>
      <c r="AO78" s="51" t="s">
        <v>6915</v>
      </c>
      <c r="AP78" s="271" t="s">
        <v>1381</v>
      </c>
      <c r="AQ78" s="271" t="s">
        <v>1380</v>
      </c>
      <c r="AR78" s="270">
        <v>44096</v>
      </c>
      <c r="AS78" s="271" t="s">
        <v>1380</v>
      </c>
      <c r="AT78" s="270">
        <v>44096</v>
      </c>
      <c r="AU78" s="269" t="s">
        <v>37</v>
      </c>
    </row>
    <row r="79" spans="1:47" s="8" customFormat="1" ht="78" thickBot="1" x14ac:dyDescent="0.3">
      <c r="A79" s="345" t="s">
        <v>482</v>
      </c>
      <c r="B79" s="331" t="s">
        <v>6801</v>
      </c>
      <c r="C79" s="83">
        <v>539</v>
      </c>
      <c r="D79" s="331" t="s">
        <v>53</v>
      </c>
      <c r="E79" s="331"/>
      <c r="F79" s="199" t="s">
        <v>152</v>
      </c>
      <c r="G79" s="199" t="s">
        <v>1974</v>
      </c>
      <c r="H79" s="301" t="s">
        <v>5018</v>
      </c>
      <c r="I79" s="624" t="s">
        <v>5019</v>
      </c>
      <c r="J79" s="87">
        <v>1141</v>
      </c>
      <c r="K79" s="360" t="s">
        <v>1450</v>
      </c>
      <c r="L79" s="907">
        <v>1692224.0215</v>
      </c>
      <c r="M79" s="907">
        <v>5394843.6102</v>
      </c>
      <c r="N79" s="199"/>
      <c r="O79" s="199" t="s">
        <v>1449</v>
      </c>
      <c r="P79" s="199" t="s">
        <v>5</v>
      </c>
      <c r="Q79" s="301"/>
      <c r="R79" s="301" t="s">
        <v>1448</v>
      </c>
      <c r="S79" s="301"/>
      <c r="T79" s="300" t="s">
        <v>5017</v>
      </c>
      <c r="U79" s="294" t="s">
        <v>16</v>
      </c>
      <c r="V79" s="197" t="s">
        <v>85</v>
      </c>
      <c r="W79" s="197" t="s">
        <v>16</v>
      </c>
      <c r="X79" s="197" t="s">
        <v>61</v>
      </c>
      <c r="Y79" s="293" t="s">
        <v>1446</v>
      </c>
      <c r="Z79" s="92" t="s">
        <v>604</v>
      </c>
      <c r="AA79" s="197"/>
      <c r="AB79" s="293" t="s">
        <v>1445</v>
      </c>
      <c r="AC79" s="197">
        <v>23</v>
      </c>
      <c r="AD79" s="197">
        <v>22</v>
      </c>
      <c r="AE79" s="197">
        <v>24</v>
      </c>
      <c r="AF79" s="197"/>
      <c r="AG79" s="197"/>
      <c r="AH79" s="197"/>
      <c r="AI79" s="94" t="s">
        <v>1444</v>
      </c>
      <c r="AJ79" s="197"/>
      <c r="AK79" s="197"/>
      <c r="AL79" s="197"/>
      <c r="AM79" s="197"/>
      <c r="AN79" s="94" t="s">
        <v>1443</v>
      </c>
      <c r="AO79" s="94" t="s">
        <v>1442</v>
      </c>
      <c r="AP79" s="292" t="s">
        <v>1381</v>
      </c>
      <c r="AQ79" s="292" t="s">
        <v>1380</v>
      </c>
      <c r="AR79" s="291" t="s">
        <v>4983</v>
      </c>
      <c r="AS79" s="292" t="s">
        <v>1380</v>
      </c>
      <c r="AT79" s="291">
        <v>44095</v>
      </c>
      <c r="AU79" s="290" t="s">
        <v>37</v>
      </c>
    </row>
    <row r="80" spans="1:47" ht="39" x14ac:dyDescent="0.25">
      <c r="A80" s="341" t="s">
        <v>482</v>
      </c>
      <c r="B80" s="181" t="s">
        <v>6802</v>
      </c>
      <c r="C80" s="125">
        <v>539</v>
      </c>
      <c r="D80" s="585" t="s">
        <v>53</v>
      </c>
      <c r="E80" s="585" t="s">
        <v>52</v>
      </c>
      <c r="F80" s="125" t="s">
        <v>2083</v>
      </c>
      <c r="G80" s="145" t="s">
        <v>1972</v>
      </c>
      <c r="H80" s="126" t="s">
        <v>499</v>
      </c>
      <c r="I80" s="247" t="s">
        <v>2021</v>
      </c>
      <c r="J80" s="189">
        <v>78</v>
      </c>
      <c r="K80" s="355" t="s">
        <v>483</v>
      </c>
      <c r="L80" s="911">
        <v>1613360.5567999999</v>
      </c>
      <c r="M80" s="911">
        <v>5340340.5782000003</v>
      </c>
      <c r="N80" s="126"/>
      <c r="O80" s="126" t="s">
        <v>490</v>
      </c>
      <c r="P80" s="125" t="s">
        <v>5</v>
      </c>
      <c r="Q80" s="126"/>
      <c r="R80" s="126"/>
      <c r="S80" s="126"/>
      <c r="T80" s="126" t="s">
        <v>498</v>
      </c>
      <c r="U80" s="101" t="s">
        <v>10</v>
      </c>
      <c r="V80" s="31" t="s">
        <v>10</v>
      </c>
      <c r="W80" s="31" t="s">
        <v>10</v>
      </c>
      <c r="X80" s="31" t="s">
        <v>5</v>
      </c>
      <c r="Y80" s="31" t="s">
        <v>505</v>
      </c>
      <c r="Z80" s="40" t="s">
        <v>341</v>
      </c>
      <c r="AA80" s="31">
        <v>1</v>
      </c>
      <c r="AB80" s="31" t="s">
        <v>512</v>
      </c>
      <c r="AC80" s="31">
        <v>12.9</v>
      </c>
      <c r="AD80" s="31">
        <v>11.9</v>
      </c>
      <c r="AE80" s="31">
        <v>14.1</v>
      </c>
      <c r="AF80" s="31"/>
      <c r="AG80" s="372"/>
      <c r="AH80" s="372"/>
      <c r="AI80" s="30" t="s">
        <v>23</v>
      </c>
      <c r="AJ80" s="130" t="s">
        <v>13</v>
      </c>
      <c r="AK80" s="130"/>
      <c r="AL80" s="372"/>
      <c r="AM80" s="372"/>
      <c r="AN80" s="30" t="s">
        <v>519</v>
      </c>
      <c r="AO80" s="40" t="s">
        <v>520</v>
      </c>
      <c r="AP80" s="40" t="s">
        <v>497</v>
      </c>
      <c r="AQ80" s="40" t="s">
        <v>37</v>
      </c>
      <c r="AR80" s="41">
        <v>44046</v>
      </c>
      <c r="AS80" s="40" t="s">
        <v>37</v>
      </c>
      <c r="AT80" s="54"/>
      <c r="AU80" s="652"/>
    </row>
    <row r="81" spans="1:47" ht="26.25" x14ac:dyDescent="0.25">
      <c r="A81" s="339"/>
      <c r="B81" s="116"/>
      <c r="C81" s="95"/>
      <c r="D81" s="567"/>
      <c r="E81" s="567"/>
      <c r="F81" s="95"/>
      <c r="G81" s="146"/>
      <c r="H81" s="108"/>
      <c r="I81" s="122"/>
      <c r="J81" s="191">
        <v>79</v>
      </c>
      <c r="K81" s="359" t="s">
        <v>484</v>
      </c>
      <c r="L81" s="913">
        <v>1613002.0456000001</v>
      </c>
      <c r="M81" s="913">
        <v>5340279.0624000002</v>
      </c>
      <c r="N81" s="108"/>
      <c r="O81" s="108" t="s">
        <v>491</v>
      </c>
      <c r="P81" s="95" t="s">
        <v>5</v>
      </c>
      <c r="Q81" s="108"/>
      <c r="R81" s="108"/>
      <c r="S81" s="108"/>
      <c r="T81" s="108" t="s">
        <v>499</v>
      </c>
      <c r="U81" s="102" t="s">
        <v>10</v>
      </c>
      <c r="V81" s="24" t="s">
        <v>10</v>
      </c>
      <c r="W81" s="24" t="s">
        <v>10</v>
      </c>
      <c r="X81" s="24" t="s">
        <v>5</v>
      </c>
      <c r="Y81" s="24" t="s">
        <v>506</v>
      </c>
      <c r="Z81" s="46" t="s">
        <v>58</v>
      </c>
      <c r="AA81" s="24">
        <v>1</v>
      </c>
      <c r="AB81" s="24" t="s">
        <v>513</v>
      </c>
      <c r="AC81" s="24">
        <v>11.3</v>
      </c>
      <c r="AD81" s="24">
        <v>10.1</v>
      </c>
      <c r="AE81" s="24">
        <v>12.7</v>
      </c>
      <c r="AF81" s="24"/>
      <c r="AG81" s="351"/>
      <c r="AH81" s="351"/>
      <c r="AI81" s="45" t="s">
        <v>23</v>
      </c>
      <c r="AJ81" s="103" t="s">
        <v>13</v>
      </c>
      <c r="AK81" s="103"/>
      <c r="AL81" s="351"/>
      <c r="AM81" s="351"/>
      <c r="AN81" s="45" t="s">
        <v>519</v>
      </c>
      <c r="AO81" s="46" t="s">
        <v>520</v>
      </c>
      <c r="AP81" s="46" t="s">
        <v>497</v>
      </c>
      <c r="AQ81" s="46" t="s">
        <v>37</v>
      </c>
      <c r="AR81" s="47">
        <v>44046</v>
      </c>
      <c r="AS81" s="46" t="s">
        <v>37</v>
      </c>
      <c r="AT81" s="365"/>
      <c r="AU81" s="1107"/>
    </row>
    <row r="82" spans="1:47" ht="26.25" x14ac:dyDescent="0.25">
      <c r="A82" s="339"/>
      <c r="B82" s="116"/>
      <c r="C82" s="95"/>
      <c r="D82" s="567"/>
      <c r="E82" s="567"/>
      <c r="F82" s="95"/>
      <c r="G82" s="146"/>
      <c r="H82" s="108"/>
      <c r="I82" s="122"/>
      <c r="J82" s="191">
        <v>80</v>
      </c>
      <c r="K82" s="359" t="s">
        <v>485</v>
      </c>
      <c r="L82" s="913">
        <v>1612929.2851</v>
      </c>
      <c r="M82" s="913">
        <v>5340259.2186000003</v>
      </c>
      <c r="N82" s="108"/>
      <c r="O82" s="108" t="s">
        <v>492</v>
      </c>
      <c r="P82" s="95" t="s">
        <v>5</v>
      </c>
      <c r="Q82" s="108"/>
      <c r="R82" s="108"/>
      <c r="S82" s="108"/>
      <c r="T82" s="108" t="s">
        <v>500</v>
      </c>
      <c r="U82" s="102" t="s">
        <v>10</v>
      </c>
      <c r="V82" s="24" t="s">
        <v>10</v>
      </c>
      <c r="W82" s="24" t="s">
        <v>10</v>
      </c>
      <c r="X82" s="24" t="s">
        <v>5</v>
      </c>
      <c r="Y82" s="24" t="s">
        <v>507</v>
      </c>
      <c r="Z82" s="46" t="s">
        <v>24</v>
      </c>
      <c r="AA82" s="24">
        <v>1</v>
      </c>
      <c r="AB82" s="24" t="s">
        <v>514</v>
      </c>
      <c r="AC82" s="24">
        <v>8.1</v>
      </c>
      <c r="AD82" s="24">
        <v>7.3</v>
      </c>
      <c r="AE82" s="24">
        <v>8.9</v>
      </c>
      <c r="AF82" s="24"/>
      <c r="AG82" s="351"/>
      <c r="AH82" s="351"/>
      <c r="AI82" s="45" t="s">
        <v>23</v>
      </c>
      <c r="AJ82" s="103" t="s">
        <v>66</v>
      </c>
      <c r="AK82" s="103"/>
      <c r="AL82" s="351"/>
      <c r="AM82" s="351"/>
      <c r="AN82" s="45" t="s">
        <v>519</v>
      </c>
      <c r="AO82" s="46" t="s">
        <v>520</v>
      </c>
      <c r="AP82" s="46" t="s">
        <v>497</v>
      </c>
      <c r="AQ82" s="46" t="s">
        <v>37</v>
      </c>
      <c r="AR82" s="47">
        <v>44046</v>
      </c>
      <c r="AS82" s="46" t="s">
        <v>37</v>
      </c>
      <c r="AT82" s="365"/>
      <c r="AU82" s="1107"/>
    </row>
    <row r="83" spans="1:47" ht="26.25" x14ac:dyDescent="0.25">
      <c r="A83" s="339"/>
      <c r="B83" s="116"/>
      <c r="C83" s="95"/>
      <c r="D83" s="567"/>
      <c r="E83" s="567"/>
      <c r="F83" s="95"/>
      <c r="G83" s="146"/>
      <c r="H83" s="108"/>
      <c r="I83" s="122"/>
      <c r="J83" s="191">
        <v>81</v>
      </c>
      <c r="K83" s="359" t="s">
        <v>486</v>
      </c>
      <c r="L83" s="913">
        <v>1612956.4049</v>
      </c>
      <c r="M83" s="913">
        <v>5340267.8175999997</v>
      </c>
      <c r="N83" s="108"/>
      <c r="O83" s="108" t="s">
        <v>493</v>
      </c>
      <c r="P83" s="95" t="s">
        <v>5</v>
      </c>
      <c r="Q83" s="108"/>
      <c r="R83" s="108"/>
      <c r="S83" s="108"/>
      <c r="T83" s="108" t="s">
        <v>501</v>
      </c>
      <c r="U83" s="102" t="s">
        <v>10</v>
      </c>
      <c r="V83" s="24" t="s">
        <v>10</v>
      </c>
      <c r="W83" s="24" t="s">
        <v>10</v>
      </c>
      <c r="X83" s="24" t="s">
        <v>5</v>
      </c>
      <c r="Y83" s="24" t="s">
        <v>508</v>
      </c>
      <c r="Z83" s="46" t="s">
        <v>58</v>
      </c>
      <c r="AA83" s="24">
        <v>1</v>
      </c>
      <c r="AB83" s="24" t="s">
        <v>515</v>
      </c>
      <c r="AC83" s="24">
        <v>7.6</v>
      </c>
      <c r="AD83" s="24">
        <v>6.8</v>
      </c>
      <c r="AE83" s="24">
        <v>8.3000000000000007</v>
      </c>
      <c r="AF83" s="24"/>
      <c r="AG83" s="351"/>
      <c r="AH83" s="351"/>
      <c r="AI83" s="45" t="s">
        <v>23</v>
      </c>
      <c r="AJ83" s="103" t="s">
        <v>66</v>
      </c>
      <c r="AK83" s="103"/>
      <c r="AL83" s="351"/>
      <c r="AM83" s="351"/>
      <c r="AN83" s="45" t="s">
        <v>519</v>
      </c>
      <c r="AO83" s="46" t="s">
        <v>520</v>
      </c>
      <c r="AP83" s="46" t="s">
        <v>497</v>
      </c>
      <c r="AQ83" s="46" t="s">
        <v>37</v>
      </c>
      <c r="AR83" s="47">
        <v>44046</v>
      </c>
      <c r="AS83" s="46" t="s">
        <v>37</v>
      </c>
      <c r="AT83" s="365"/>
      <c r="AU83" s="1107"/>
    </row>
    <row r="84" spans="1:47" ht="26.25" x14ac:dyDescent="0.25">
      <c r="A84" s="339"/>
      <c r="B84" s="116"/>
      <c r="C84" s="95"/>
      <c r="D84" s="567"/>
      <c r="E84" s="567"/>
      <c r="F84" s="95"/>
      <c r="G84" s="146"/>
      <c r="H84" s="108"/>
      <c r="I84" s="122"/>
      <c r="J84" s="191">
        <v>82</v>
      </c>
      <c r="K84" s="359" t="s">
        <v>487</v>
      </c>
      <c r="L84" s="913">
        <v>1612737.4617999999</v>
      </c>
      <c r="M84" s="913">
        <v>5340183.8121999996</v>
      </c>
      <c r="N84" s="108"/>
      <c r="O84" s="108" t="s">
        <v>494</v>
      </c>
      <c r="P84" s="95" t="s">
        <v>5</v>
      </c>
      <c r="Q84" s="108"/>
      <c r="R84" s="108"/>
      <c r="S84" s="108"/>
      <c r="T84" s="108" t="s">
        <v>502</v>
      </c>
      <c r="U84" s="102" t="s">
        <v>10</v>
      </c>
      <c r="V84" s="24" t="s">
        <v>10</v>
      </c>
      <c r="W84" s="24" t="s">
        <v>10</v>
      </c>
      <c r="X84" s="24" t="s">
        <v>5</v>
      </c>
      <c r="Y84" s="24" t="s">
        <v>509</v>
      </c>
      <c r="Z84" s="46" t="s">
        <v>58</v>
      </c>
      <c r="AA84" s="24">
        <v>1</v>
      </c>
      <c r="AB84" s="24" t="s">
        <v>516</v>
      </c>
      <c r="AC84" s="24">
        <v>5.6</v>
      </c>
      <c r="AD84" s="24">
        <v>4.8</v>
      </c>
      <c r="AE84" s="24">
        <v>6.7</v>
      </c>
      <c r="AF84" s="24"/>
      <c r="AG84" s="351"/>
      <c r="AH84" s="351"/>
      <c r="AI84" s="45" t="s">
        <v>23</v>
      </c>
      <c r="AJ84" s="103" t="s">
        <v>66</v>
      </c>
      <c r="AK84" s="103"/>
      <c r="AL84" s="351"/>
      <c r="AM84" s="351"/>
      <c r="AN84" s="45" t="s">
        <v>519</v>
      </c>
      <c r="AO84" s="46" t="s">
        <v>520</v>
      </c>
      <c r="AP84" s="46" t="s">
        <v>497</v>
      </c>
      <c r="AQ84" s="46" t="s">
        <v>37</v>
      </c>
      <c r="AR84" s="47">
        <v>44046</v>
      </c>
      <c r="AS84" s="46" t="s">
        <v>37</v>
      </c>
      <c r="AT84" s="365"/>
      <c r="AU84" s="1107"/>
    </row>
    <row r="85" spans="1:47" ht="26.25" x14ac:dyDescent="0.25">
      <c r="A85" s="339"/>
      <c r="B85" s="116"/>
      <c r="C85" s="95"/>
      <c r="D85" s="567"/>
      <c r="E85" s="567"/>
      <c r="F85" s="95"/>
      <c r="G85" s="146"/>
      <c r="H85" s="108"/>
      <c r="I85" s="122"/>
      <c r="J85" s="191">
        <v>83</v>
      </c>
      <c r="K85" s="359" t="s">
        <v>488</v>
      </c>
      <c r="L85" s="913">
        <v>1612679.9147999999</v>
      </c>
      <c r="M85" s="913">
        <v>5340159.9996999996</v>
      </c>
      <c r="N85" s="108"/>
      <c r="O85" s="108" t="s">
        <v>495</v>
      </c>
      <c r="P85" s="95" t="s">
        <v>5</v>
      </c>
      <c r="Q85" s="108"/>
      <c r="R85" s="108"/>
      <c r="S85" s="108"/>
      <c r="T85" s="108" t="s">
        <v>503</v>
      </c>
      <c r="U85" s="102" t="s">
        <v>10</v>
      </c>
      <c r="V85" s="24" t="s">
        <v>10</v>
      </c>
      <c r="W85" s="24" t="s">
        <v>10</v>
      </c>
      <c r="X85" s="24" t="s">
        <v>5</v>
      </c>
      <c r="Y85" s="24" t="s">
        <v>510</v>
      </c>
      <c r="Z85" s="46" t="s">
        <v>58</v>
      </c>
      <c r="AA85" s="24">
        <v>1</v>
      </c>
      <c r="AB85" s="24" t="s">
        <v>517</v>
      </c>
      <c r="AC85" s="24">
        <v>4.3</v>
      </c>
      <c r="AD85" s="24">
        <v>3.9</v>
      </c>
      <c r="AE85" s="24">
        <v>4.5999999999999996</v>
      </c>
      <c r="AF85" s="24"/>
      <c r="AG85" s="351"/>
      <c r="AH85" s="351"/>
      <c r="AI85" s="45" t="s">
        <v>23</v>
      </c>
      <c r="AJ85" s="103" t="s">
        <v>66</v>
      </c>
      <c r="AK85" s="103"/>
      <c r="AL85" s="351"/>
      <c r="AM85" s="351"/>
      <c r="AN85" s="45" t="s">
        <v>519</v>
      </c>
      <c r="AO85" s="46" t="s">
        <v>520</v>
      </c>
      <c r="AP85" s="46" t="s">
        <v>497</v>
      </c>
      <c r="AQ85" s="46" t="s">
        <v>37</v>
      </c>
      <c r="AR85" s="47">
        <v>44046</v>
      </c>
      <c r="AS85" s="46" t="s">
        <v>37</v>
      </c>
      <c r="AT85" s="365"/>
      <c r="AU85" s="1107"/>
    </row>
    <row r="86" spans="1:47" ht="26.25" x14ac:dyDescent="0.25">
      <c r="A86" s="339"/>
      <c r="B86" s="116"/>
      <c r="C86" s="95"/>
      <c r="D86" s="567"/>
      <c r="E86" s="567"/>
      <c r="F86" s="95"/>
      <c r="G86" s="146"/>
      <c r="H86" s="108"/>
      <c r="I86" s="122"/>
      <c r="J86" s="191">
        <v>84</v>
      </c>
      <c r="K86" s="359" t="s">
        <v>489</v>
      </c>
      <c r="L86" s="913">
        <v>1612633.0833999999</v>
      </c>
      <c r="M86" s="913">
        <v>5340140.0236</v>
      </c>
      <c r="N86" s="108"/>
      <c r="O86" s="108" t="s">
        <v>496</v>
      </c>
      <c r="P86" s="95" t="s">
        <v>5</v>
      </c>
      <c r="Q86" s="108"/>
      <c r="R86" s="108"/>
      <c r="S86" s="108"/>
      <c r="T86" s="108" t="s">
        <v>504</v>
      </c>
      <c r="U86" s="102" t="s">
        <v>10</v>
      </c>
      <c r="V86" s="24" t="s">
        <v>10</v>
      </c>
      <c r="W86" s="24" t="s">
        <v>10</v>
      </c>
      <c r="X86" s="24" t="s">
        <v>5</v>
      </c>
      <c r="Y86" s="24" t="s">
        <v>511</v>
      </c>
      <c r="Z86" s="46" t="s">
        <v>58</v>
      </c>
      <c r="AA86" s="24">
        <v>1</v>
      </c>
      <c r="AB86" s="24" t="s">
        <v>518</v>
      </c>
      <c r="AC86" s="24">
        <v>1.8</v>
      </c>
      <c r="AD86" s="24">
        <v>1.5</v>
      </c>
      <c r="AE86" s="24">
        <v>2.1</v>
      </c>
      <c r="AF86" s="24"/>
      <c r="AG86" s="351"/>
      <c r="AH86" s="351"/>
      <c r="AI86" s="45" t="s">
        <v>23</v>
      </c>
      <c r="AJ86" s="103" t="s">
        <v>66</v>
      </c>
      <c r="AK86" s="103"/>
      <c r="AL86" s="351"/>
      <c r="AM86" s="351"/>
      <c r="AN86" s="45" t="s">
        <v>519</v>
      </c>
      <c r="AO86" s="46" t="s">
        <v>520</v>
      </c>
      <c r="AP86" s="46" t="s">
        <v>497</v>
      </c>
      <c r="AQ86" s="46" t="s">
        <v>37</v>
      </c>
      <c r="AR86" s="47">
        <v>44046</v>
      </c>
      <c r="AS86" s="46" t="s">
        <v>37</v>
      </c>
      <c r="AT86" s="365"/>
      <c r="AU86" s="1107"/>
    </row>
    <row r="87" spans="1:47" ht="39" x14ac:dyDescent="0.25">
      <c r="A87" s="339"/>
      <c r="B87" s="116"/>
      <c r="C87" s="95"/>
      <c r="D87" s="567"/>
      <c r="E87" s="567"/>
      <c r="F87" s="95"/>
      <c r="G87" s="146"/>
      <c r="H87" s="108"/>
      <c r="I87" s="122"/>
      <c r="J87" s="191">
        <v>85</v>
      </c>
      <c r="K87" s="359" t="s">
        <v>521</v>
      </c>
      <c r="L87" s="913">
        <v>1613178.4209</v>
      </c>
      <c r="M87" s="913">
        <v>5340310.1183000002</v>
      </c>
      <c r="N87" s="108"/>
      <c r="O87" s="108" t="s">
        <v>527</v>
      </c>
      <c r="P87" s="95" t="s">
        <v>5</v>
      </c>
      <c r="Q87" s="108"/>
      <c r="R87" s="108"/>
      <c r="S87" s="108"/>
      <c r="T87" s="108" t="s">
        <v>537</v>
      </c>
      <c r="U87" s="102" t="s">
        <v>10</v>
      </c>
      <c r="V87" s="24" t="s">
        <v>10</v>
      </c>
      <c r="W87" s="24" t="s">
        <v>10</v>
      </c>
      <c r="X87" s="24" t="s">
        <v>5</v>
      </c>
      <c r="Y87" s="24"/>
      <c r="Z87" s="46" t="s">
        <v>534</v>
      </c>
      <c r="AA87" s="24">
        <v>1</v>
      </c>
      <c r="AB87" s="117" t="s">
        <v>543</v>
      </c>
      <c r="AC87" s="24">
        <v>12.9</v>
      </c>
      <c r="AD87" s="24">
        <v>11.9</v>
      </c>
      <c r="AE87" s="24">
        <v>14.1</v>
      </c>
      <c r="AF87" s="24">
        <v>11.3</v>
      </c>
      <c r="AG87" s="24">
        <v>10.1</v>
      </c>
      <c r="AH87" s="24">
        <v>12.7</v>
      </c>
      <c r="AI87" s="45" t="s">
        <v>23</v>
      </c>
      <c r="AJ87" s="103" t="s">
        <v>13</v>
      </c>
      <c r="AK87" s="103"/>
      <c r="AL87" s="351"/>
      <c r="AM87" s="351"/>
      <c r="AN87" s="180" t="s">
        <v>552</v>
      </c>
      <c r="AO87" s="46" t="s">
        <v>520</v>
      </c>
      <c r="AP87" s="46" t="s">
        <v>497</v>
      </c>
      <c r="AQ87" s="46" t="s">
        <v>37</v>
      </c>
      <c r="AR87" s="47">
        <v>44046</v>
      </c>
      <c r="AS87" s="46" t="s">
        <v>37</v>
      </c>
      <c r="AT87" s="365"/>
      <c r="AU87" s="1107"/>
    </row>
    <row r="88" spans="1:47" ht="26.25" x14ac:dyDescent="0.25">
      <c r="A88" s="339"/>
      <c r="B88" s="116"/>
      <c r="C88" s="95"/>
      <c r="D88" s="567"/>
      <c r="E88" s="567"/>
      <c r="F88" s="95"/>
      <c r="G88" s="146"/>
      <c r="H88" s="108"/>
      <c r="I88" s="122"/>
      <c r="J88" s="191">
        <v>86</v>
      </c>
      <c r="K88" s="359" t="s">
        <v>522</v>
      </c>
      <c r="L88" s="913">
        <v>1612945.1617000001</v>
      </c>
      <c r="M88" s="913">
        <v>5340263.7401000001</v>
      </c>
      <c r="N88" s="108"/>
      <c r="O88" s="108" t="s">
        <v>528</v>
      </c>
      <c r="P88" s="95" t="s">
        <v>5</v>
      </c>
      <c r="Q88" s="108"/>
      <c r="R88" s="108"/>
      <c r="S88" s="108"/>
      <c r="T88" s="108" t="s">
        <v>538</v>
      </c>
      <c r="U88" s="102" t="s">
        <v>10</v>
      </c>
      <c r="V88" s="24" t="s">
        <v>10</v>
      </c>
      <c r="W88" s="24" t="s">
        <v>10</v>
      </c>
      <c r="X88" s="24" t="s">
        <v>5</v>
      </c>
      <c r="Y88" s="24"/>
      <c r="Z88" s="46" t="s">
        <v>535</v>
      </c>
      <c r="AA88" s="24">
        <v>1</v>
      </c>
      <c r="AB88" s="117" t="s">
        <v>544</v>
      </c>
      <c r="AC88" s="24">
        <v>8.1</v>
      </c>
      <c r="AD88" s="24">
        <v>7.3</v>
      </c>
      <c r="AE88" s="24">
        <v>8.9</v>
      </c>
      <c r="AF88" s="24">
        <v>7.6</v>
      </c>
      <c r="AG88" s="24">
        <v>6.8</v>
      </c>
      <c r="AH88" s="24">
        <v>8.3000000000000007</v>
      </c>
      <c r="AI88" s="45" t="s">
        <v>23</v>
      </c>
      <c r="AJ88" s="103" t="s">
        <v>66</v>
      </c>
      <c r="AK88" s="103"/>
      <c r="AL88" s="351"/>
      <c r="AM88" s="351"/>
      <c r="AN88" s="180" t="s">
        <v>552</v>
      </c>
      <c r="AO88" s="46" t="s">
        <v>520</v>
      </c>
      <c r="AP88" s="46" t="s">
        <v>497</v>
      </c>
      <c r="AQ88" s="46" t="s">
        <v>37</v>
      </c>
      <c r="AR88" s="47">
        <v>44046</v>
      </c>
      <c r="AS88" s="46" t="s">
        <v>37</v>
      </c>
      <c r="AT88" s="365"/>
      <c r="AU88" s="1107"/>
    </row>
    <row r="89" spans="1:47" ht="26.25" x14ac:dyDescent="0.25">
      <c r="A89" s="339"/>
      <c r="B89" s="116"/>
      <c r="C89" s="95"/>
      <c r="D89" s="567"/>
      <c r="E89" s="567"/>
      <c r="F89" s="95"/>
      <c r="G89" s="146"/>
      <c r="H89" s="108"/>
      <c r="I89" s="122"/>
      <c r="J89" s="191">
        <v>87</v>
      </c>
      <c r="K89" s="359" t="s">
        <v>524</v>
      </c>
      <c r="L89" s="913">
        <v>1612834.0364000001</v>
      </c>
      <c r="M89" s="913">
        <v>5340225.6399999997</v>
      </c>
      <c r="N89" s="108"/>
      <c r="O89" s="108" t="s">
        <v>529</v>
      </c>
      <c r="P89" s="95" t="s">
        <v>5</v>
      </c>
      <c r="Q89" s="108"/>
      <c r="R89" s="108"/>
      <c r="S89" s="108"/>
      <c r="T89" s="108" t="s">
        <v>539</v>
      </c>
      <c r="U89" s="102" t="s">
        <v>10</v>
      </c>
      <c r="V89" s="24" t="s">
        <v>10</v>
      </c>
      <c r="W89" s="24" t="s">
        <v>10</v>
      </c>
      <c r="X89" s="24" t="s">
        <v>5</v>
      </c>
      <c r="Y89" s="24"/>
      <c r="Z89" s="46" t="s">
        <v>533</v>
      </c>
      <c r="AA89" s="24">
        <v>1</v>
      </c>
      <c r="AB89" s="117" t="s">
        <v>545</v>
      </c>
      <c r="AC89" s="24">
        <v>7.6</v>
      </c>
      <c r="AD89" s="24">
        <v>6.8</v>
      </c>
      <c r="AE89" s="24">
        <v>8.3000000000000007</v>
      </c>
      <c r="AF89" s="24">
        <v>5.6</v>
      </c>
      <c r="AG89" s="24">
        <v>4.8</v>
      </c>
      <c r="AH89" s="24">
        <v>6.7</v>
      </c>
      <c r="AI89" s="45" t="s">
        <v>23</v>
      </c>
      <c r="AJ89" s="103" t="s">
        <v>66</v>
      </c>
      <c r="AK89" s="103"/>
      <c r="AL89" s="351"/>
      <c r="AM89" s="351"/>
      <c r="AN89" s="180" t="s">
        <v>552</v>
      </c>
      <c r="AO89" s="46" t="s">
        <v>520</v>
      </c>
      <c r="AP89" s="46" t="s">
        <v>497</v>
      </c>
      <c r="AQ89" s="46" t="s">
        <v>37</v>
      </c>
      <c r="AR89" s="47">
        <v>44046</v>
      </c>
      <c r="AS89" s="46" t="s">
        <v>37</v>
      </c>
      <c r="AT89" s="365"/>
      <c r="AU89" s="1107"/>
    </row>
    <row r="90" spans="1:47" ht="26.25" x14ac:dyDescent="0.25">
      <c r="A90" s="339"/>
      <c r="B90" s="116"/>
      <c r="C90" s="95"/>
      <c r="D90" s="567"/>
      <c r="E90" s="567"/>
      <c r="F90" s="95"/>
      <c r="G90" s="146"/>
      <c r="H90" s="108"/>
      <c r="I90" s="122"/>
      <c r="J90" s="191">
        <v>88</v>
      </c>
      <c r="K90" s="359" t="s">
        <v>523</v>
      </c>
      <c r="L90" s="913">
        <v>1612714.18</v>
      </c>
      <c r="M90" s="913">
        <v>5340175.6337000001</v>
      </c>
      <c r="N90" s="108"/>
      <c r="O90" s="108" t="s">
        <v>530</v>
      </c>
      <c r="P90" s="95" t="s">
        <v>5</v>
      </c>
      <c r="Q90" s="108"/>
      <c r="R90" s="108"/>
      <c r="S90" s="108"/>
      <c r="T90" s="108" t="s">
        <v>540</v>
      </c>
      <c r="U90" s="102" t="s">
        <v>10</v>
      </c>
      <c r="V90" s="24" t="s">
        <v>10</v>
      </c>
      <c r="W90" s="24" t="s">
        <v>10</v>
      </c>
      <c r="X90" s="24" t="s">
        <v>5</v>
      </c>
      <c r="Y90" s="24"/>
      <c r="Z90" s="46" t="s">
        <v>533</v>
      </c>
      <c r="AA90" s="24">
        <v>1</v>
      </c>
      <c r="AB90" s="117" t="s">
        <v>546</v>
      </c>
      <c r="AC90" s="24">
        <v>5.6</v>
      </c>
      <c r="AD90" s="24">
        <v>4.8</v>
      </c>
      <c r="AE90" s="24">
        <v>6.7</v>
      </c>
      <c r="AF90" s="24">
        <v>4.3</v>
      </c>
      <c r="AG90" s="24">
        <v>3.9</v>
      </c>
      <c r="AH90" s="24">
        <v>4.5999999999999996</v>
      </c>
      <c r="AI90" s="45" t="s">
        <v>23</v>
      </c>
      <c r="AJ90" s="103" t="s">
        <v>66</v>
      </c>
      <c r="AK90" s="103"/>
      <c r="AL90" s="351"/>
      <c r="AM90" s="351"/>
      <c r="AN90" s="180" t="s">
        <v>552</v>
      </c>
      <c r="AO90" s="46" t="s">
        <v>520</v>
      </c>
      <c r="AP90" s="46" t="s">
        <v>497</v>
      </c>
      <c r="AQ90" s="46" t="s">
        <v>37</v>
      </c>
      <c r="AR90" s="47">
        <v>44046</v>
      </c>
      <c r="AS90" s="46" t="s">
        <v>37</v>
      </c>
      <c r="AT90" s="365"/>
      <c r="AU90" s="1107"/>
    </row>
    <row r="91" spans="1:47" ht="26.25" x14ac:dyDescent="0.25">
      <c r="A91" s="339"/>
      <c r="B91" s="116"/>
      <c r="C91" s="95"/>
      <c r="D91" s="567"/>
      <c r="E91" s="567"/>
      <c r="F91" s="95"/>
      <c r="G91" s="146"/>
      <c r="H91" s="108"/>
      <c r="I91" s="122"/>
      <c r="J91" s="191">
        <v>89</v>
      </c>
      <c r="K91" s="359" t="s">
        <v>525</v>
      </c>
      <c r="L91" s="913">
        <v>1612655.0455</v>
      </c>
      <c r="M91" s="913">
        <v>5340151.0274</v>
      </c>
      <c r="N91" s="108"/>
      <c r="O91" s="108" t="s">
        <v>531</v>
      </c>
      <c r="P91" s="95" t="s">
        <v>5</v>
      </c>
      <c r="Q91" s="108"/>
      <c r="R91" s="108"/>
      <c r="S91" s="108"/>
      <c r="T91" s="108" t="s">
        <v>541</v>
      </c>
      <c r="U91" s="102" t="s">
        <v>10</v>
      </c>
      <c r="V91" s="24" t="s">
        <v>10</v>
      </c>
      <c r="W91" s="24" t="s">
        <v>10</v>
      </c>
      <c r="X91" s="24" t="s">
        <v>5</v>
      </c>
      <c r="Y91" s="24"/>
      <c r="Z91" s="46" t="s">
        <v>533</v>
      </c>
      <c r="AA91" s="24">
        <v>1</v>
      </c>
      <c r="AB91" s="117" t="s">
        <v>547</v>
      </c>
      <c r="AC91" s="24">
        <v>4.3</v>
      </c>
      <c r="AD91" s="24">
        <v>3.9</v>
      </c>
      <c r="AE91" s="24">
        <v>4.5999999999999996</v>
      </c>
      <c r="AF91" s="24">
        <v>1.8</v>
      </c>
      <c r="AG91" s="24">
        <v>1.5</v>
      </c>
      <c r="AH91" s="24">
        <v>2.1</v>
      </c>
      <c r="AI91" s="45" t="s">
        <v>23</v>
      </c>
      <c r="AJ91" s="103" t="s">
        <v>66</v>
      </c>
      <c r="AK91" s="103"/>
      <c r="AL91" s="351"/>
      <c r="AM91" s="351"/>
      <c r="AN91" s="180" t="s">
        <v>552</v>
      </c>
      <c r="AO91" s="46" t="s">
        <v>520</v>
      </c>
      <c r="AP91" s="46" t="s">
        <v>497</v>
      </c>
      <c r="AQ91" s="46" t="s">
        <v>37</v>
      </c>
      <c r="AR91" s="47">
        <v>44046</v>
      </c>
      <c r="AS91" s="46" t="s">
        <v>37</v>
      </c>
      <c r="AT91" s="365"/>
      <c r="AU91" s="1107"/>
    </row>
    <row r="92" spans="1:47" ht="27" thickBot="1" x14ac:dyDescent="0.3">
      <c r="A92" s="336"/>
      <c r="B92" s="196"/>
      <c r="C92" s="96"/>
      <c r="D92" s="566"/>
      <c r="E92" s="566"/>
      <c r="F92" s="96"/>
      <c r="G92" s="147"/>
      <c r="H92" s="107"/>
      <c r="I92" s="123"/>
      <c r="J92" s="190">
        <v>90</v>
      </c>
      <c r="K92" s="357" t="s">
        <v>526</v>
      </c>
      <c r="L92" s="912">
        <v>1612604.2453999999</v>
      </c>
      <c r="M92" s="912">
        <v>5340128.8022999996</v>
      </c>
      <c r="N92" s="107"/>
      <c r="O92" s="107" t="s">
        <v>532</v>
      </c>
      <c r="P92" s="96" t="s">
        <v>5</v>
      </c>
      <c r="Q92" s="107"/>
      <c r="R92" s="107"/>
      <c r="S92" s="107"/>
      <c r="T92" s="107" t="s">
        <v>542</v>
      </c>
      <c r="U92" s="104" t="s">
        <v>10</v>
      </c>
      <c r="V92" s="25" t="s">
        <v>10</v>
      </c>
      <c r="W92" s="25" t="s">
        <v>10</v>
      </c>
      <c r="X92" s="25" t="s">
        <v>5</v>
      </c>
      <c r="Y92" s="25"/>
      <c r="Z92" s="52" t="s">
        <v>536</v>
      </c>
      <c r="AA92" s="25">
        <v>1</v>
      </c>
      <c r="AB92" s="120" t="s">
        <v>548</v>
      </c>
      <c r="AC92" s="25">
        <v>1.8</v>
      </c>
      <c r="AD92" s="25">
        <v>1.5</v>
      </c>
      <c r="AE92" s="25">
        <v>2.1</v>
      </c>
      <c r="AF92" s="25">
        <v>0.16900000000000001</v>
      </c>
      <c r="AG92" s="25">
        <v>0</v>
      </c>
      <c r="AH92" s="25">
        <v>0</v>
      </c>
      <c r="AI92" s="51" t="s">
        <v>23</v>
      </c>
      <c r="AJ92" s="105" t="s">
        <v>66</v>
      </c>
      <c r="AK92" s="105"/>
      <c r="AL92" s="386"/>
      <c r="AM92" s="386"/>
      <c r="AN92" s="183" t="s">
        <v>552</v>
      </c>
      <c r="AO92" s="52" t="s">
        <v>520</v>
      </c>
      <c r="AP92" s="52" t="s">
        <v>497</v>
      </c>
      <c r="AQ92" s="52" t="s">
        <v>37</v>
      </c>
      <c r="AR92" s="53">
        <v>44046</v>
      </c>
      <c r="AS92" s="52" t="s">
        <v>37</v>
      </c>
      <c r="AT92" s="367"/>
      <c r="AU92" s="653"/>
    </row>
    <row r="93" spans="1:47" s="135" customFormat="1" ht="52.5" thickBot="1" x14ac:dyDescent="0.3">
      <c r="A93" s="487" t="s">
        <v>2010</v>
      </c>
      <c r="B93" s="128" t="s">
        <v>2010</v>
      </c>
      <c r="C93" s="72">
        <v>830</v>
      </c>
      <c r="D93" s="586" t="s">
        <v>52</v>
      </c>
      <c r="E93" s="586"/>
      <c r="F93" s="72" t="s">
        <v>1262</v>
      </c>
      <c r="G93" s="140" t="s">
        <v>1263</v>
      </c>
      <c r="H93" s="129" t="s">
        <v>5020</v>
      </c>
      <c r="I93" s="128" t="s">
        <v>5303</v>
      </c>
      <c r="J93" s="187">
        <v>269</v>
      </c>
      <c r="K93" s="73" t="s">
        <v>2011</v>
      </c>
      <c r="L93" s="914">
        <v>1319882.9071</v>
      </c>
      <c r="M93" s="914">
        <v>4917216.0621999996</v>
      </c>
      <c r="N93" s="129"/>
      <c r="O93" s="129" t="s">
        <v>1845</v>
      </c>
      <c r="P93" s="72" t="s">
        <v>194</v>
      </c>
      <c r="Q93" s="1070"/>
      <c r="R93" s="1070"/>
      <c r="S93" s="1070"/>
      <c r="T93" s="266" t="s">
        <v>2039</v>
      </c>
      <c r="U93" s="171" t="s">
        <v>1481</v>
      </c>
      <c r="V93" s="154" t="s">
        <v>85</v>
      </c>
      <c r="W93" s="154" t="s">
        <v>85</v>
      </c>
      <c r="X93" s="154" t="s">
        <v>194</v>
      </c>
      <c r="Y93" s="154" t="s">
        <v>1529</v>
      </c>
      <c r="Z93" s="155" t="s">
        <v>289</v>
      </c>
      <c r="AA93" s="154">
        <v>1</v>
      </c>
      <c r="AB93" s="156" t="s">
        <v>2037</v>
      </c>
      <c r="AC93" s="154">
        <v>98.5</v>
      </c>
      <c r="AD93" s="154">
        <f>98.5-10.3</f>
        <v>88.2</v>
      </c>
      <c r="AE93" s="154">
        <f>98.5+10.3</f>
        <v>108.8</v>
      </c>
      <c r="AF93" s="154"/>
      <c r="AG93" s="154"/>
      <c r="AH93" s="154"/>
      <c r="AI93" s="183" t="s">
        <v>256</v>
      </c>
      <c r="AJ93" s="201"/>
      <c r="AK93" s="201"/>
      <c r="AL93" s="443"/>
      <c r="AM93" s="443"/>
      <c r="AN93" s="203" t="s">
        <v>2041</v>
      </c>
      <c r="AO93" s="203" t="s">
        <v>2033</v>
      </c>
      <c r="AP93" s="152" t="s">
        <v>2024</v>
      </c>
      <c r="AQ93" s="152" t="s">
        <v>37</v>
      </c>
      <c r="AR93" s="170">
        <v>44244</v>
      </c>
      <c r="AS93" s="152" t="s">
        <v>37</v>
      </c>
      <c r="AT93" s="362"/>
      <c r="AU93" s="1111"/>
    </row>
    <row r="94" spans="1:47" s="135" customFormat="1" ht="52.5" thickBot="1" x14ac:dyDescent="0.3">
      <c r="A94" s="488"/>
      <c r="B94" s="131"/>
      <c r="C94" s="75"/>
      <c r="D94" s="568"/>
      <c r="E94" s="568"/>
      <c r="F94" s="75"/>
      <c r="G94" s="143"/>
      <c r="H94" s="118"/>
      <c r="I94" s="131"/>
      <c r="J94" s="188">
        <v>270</v>
      </c>
      <c r="K94" s="76" t="s">
        <v>2012</v>
      </c>
      <c r="L94" s="915">
        <v>1318484.0937000001</v>
      </c>
      <c r="M94" s="915">
        <v>4915613.1840000004</v>
      </c>
      <c r="N94" s="118"/>
      <c r="O94" s="118" t="s">
        <v>1845</v>
      </c>
      <c r="P94" s="75" t="s">
        <v>194</v>
      </c>
      <c r="Q94" s="1071"/>
      <c r="R94" s="1071"/>
      <c r="S94" s="1071"/>
      <c r="T94" s="601" t="s">
        <v>2039</v>
      </c>
      <c r="U94" s="171" t="s">
        <v>1481</v>
      </c>
      <c r="V94" s="154" t="s">
        <v>85</v>
      </c>
      <c r="W94" s="154" t="s">
        <v>85</v>
      </c>
      <c r="X94" s="154" t="s">
        <v>194</v>
      </c>
      <c r="Y94" s="154" t="s">
        <v>1685</v>
      </c>
      <c r="Z94" s="155" t="s">
        <v>289</v>
      </c>
      <c r="AA94" s="154">
        <v>1</v>
      </c>
      <c r="AB94" s="156" t="s">
        <v>2037</v>
      </c>
      <c r="AC94" s="154">
        <v>98.5</v>
      </c>
      <c r="AD94" s="154">
        <f>98.5-10.3</f>
        <v>88.2</v>
      </c>
      <c r="AE94" s="154">
        <f>98.5+10.3</f>
        <v>108.8</v>
      </c>
      <c r="AF94" s="154"/>
      <c r="AG94" s="154"/>
      <c r="AH94" s="154"/>
      <c r="AI94" s="183" t="s">
        <v>256</v>
      </c>
      <c r="AJ94" s="201"/>
      <c r="AK94" s="201"/>
      <c r="AL94" s="443"/>
      <c r="AM94" s="443"/>
      <c r="AN94" s="203" t="s">
        <v>2041</v>
      </c>
      <c r="AO94" s="203" t="s">
        <v>2033</v>
      </c>
      <c r="AP94" s="152" t="s">
        <v>2024</v>
      </c>
      <c r="AQ94" s="152" t="s">
        <v>37</v>
      </c>
      <c r="AR94" s="170">
        <v>44244</v>
      </c>
      <c r="AS94" s="152" t="s">
        <v>37</v>
      </c>
      <c r="AT94" s="362"/>
      <c r="AU94" s="1111"/>
    </row>
    <row r="95" spans="1:47" s="135" customFormat="1" ht="52.5" thickBot="1" x14ac:dyDescent="0.3">
      <c r="A95" s="488"/>
      <c r="B95" s="131"/>
      <c r="C95" s="75"/>
      <c r="D95" s="568"/>
      <c r="E95" s="568"/>
      <c r="F95" s="75"/>
      <c r="G95" s="143"/>
      <c r="H95" s="118"/>
      <c r="I95" s="131"/>
      <c r="J95" s="188">
        <v>271</v>
      </c>
      <c r="K95" s="76" t="s">
        <v>2013</v>
      </c>
      <c r="L95" s="915">
        <v>1316988.5608999999</v>
      </c>
      <c r="M95" s="915">
        <v>4912608.8245999999</v>
      </c>
      <c r="N95" s="118"/>
      <c r="O95" s="118" t="s">
        <v>1845</v>
      </c>
      <c r="P95" s="75" t="s">
        <v>194</v>
      </c>
      <c r="Q95" s="1071"/>
      <c r="R95" s="1071"/>
      <c r="S95" s="1071"/>
      <c r="T95" s="601" t="s">
        <v>2039</v>
      </c>
      <c r="U95" s="171" t="s">
        <v>1481</v>
      </c>
      <c r="V95" s="154" t="s">
        <v>85</v>
      </c>
      <c r="W95" s="154" t="s">
        <v>85</v>
      </c>
      <c r="X95" s="154" t="s">
        <v>194</v>
      </c>
      <c r="Y95" s="154" t="s">
        <v>1529</v>
      </c>
      <c r="Z95" s="155" t="s">
        <v>289</v>
      </c>
      <c r="AA95" s="154">
        <v>1</v>
      </c>
      <c r="AB95" s="156" t="s">
        <v>2038</v>
      </c>
      <c r="AC95" s="154">
        <v>7.31</v>
      </c>
      <c r="AD95" s="154">
        <v>6.31</v>
      </c>
      <c r="AE95" s="154">
        <v>8.31</v>
      </c>
      <c r="AF95" s="154"/>
      <c r="AG95" s="154"/>
      <c r="AH95" s="154"/>
      <c r="AI95" s="183" t="s">
        <v>256</v>
      </c>
      <c r="AJ95" s="201"/>
      <c r="AK95" s="201"/>
      <c r="AL95" s="443"/>
      <c r="AM95" s="443"/>
      <c r="AN95" s="203" t="s">
        <v>2041</v>
      </c>
      <c r="AO95" s="203" t="s">
        <v>2033</v>
      </c>
      <c r="AP95" s="152" t="s">
        <v>2024</v>
      </c>
      <c r="AQ95" s="152" t="s">
        <v>37</v>
      </c>
      <c r="AR95" s="170">
        <v>44244</v>
      </c>
      <c r="AS95" s="152" t="s">
        <v>37</v>
      </c>
      <c r="AT95" s="362"/>
      <c r="AU95" s="1111"/>
    </row>
    <row r="96" spans="1:47" s="135" customFormat="1" ht="52.5" thickBot="1" x14ac:dyDescent="0.3">
      <c r="A96" s="488"/>
      <c r="B96" s="131"/>
      <c r="C96" s="75"/>
      <c r="D96" s="568"/>
      <c r="E96" s="568"/>
      <c r="F96" s="75"/>
      <c r="G96" s="143"/>
      <c r="H96" s="118"/>
      <c r="I96" s="131"/>
      <c r="J96" s="188">
        <v>272</v>
      </c>
      <c r="K96" s="76" t="s">
        <v>2014</v>
      </c>
      <c r="L96" s="915">
        <v>1312895.8485999999</v>
      </c>
      <c r="M96" s="915">
        <v>4906398.8218</v>
      </c>
      <c r="N96" s="118"/>
      <c r="O96" s="118" t="s">
        <v>2034</v>
      </c>
      <c r="P96" s="75" t="s">
        <v>194</v>
      </c>
      <c r="Q96" s="1071"/>
      <c r="R96" s="1071"/>
      <c r="S96" s="1071"/>
      <c r="T96" s="601" t="s">
        <v>2040</v>
      </c>
      <c r="U96" s="171" t="s">
        <v>1481</v>
      </c>
      <c r="V96" s="154" t="s">
        <v>85</v>
      </c>
      <c r="W96" s="154" t="s">
        <v>85</v>
      </c>
      <c r="X96" s="154" t="s">
        <v>194</v>
      </c>
      <c r="Y96" s="154" t="s">
        <v>2035</v>
      </c>
      <c r="Z96" s="155" t="s">
        <v>289</v>
      </c>
      <c r="AA96" s="154">
        <v>1</v>
      </c>
      <c r="AB96" s="156" t="s">
        <v>2037</v>
      </c>
      <c r="AC96" s="154">
        <v>98.5</v>
      </c>
      <c r="AD96" s="154">
        <f>98.5-10.3</f>
        <v>88.2</v>
      </c>
      <c r="AE96" s="154">
        <f>98.5+10.3</f>
        <v>108.8</v>
      </c>
      <c r="AF96" s="154"/>
      <c r="AG96" s="154"/>
      <c r="AH96" s="154"/>
      <c r="AI96" s="183" t="s">
        <v>256</v>
      </c>
      <c r="AJ96" s="201"/>
      <c r="AK96" s="201"/>
      <c r="AL96" s="443"/>
      <c r="AM96" s="443"/>
      <c r="AN96" s="203" t="s">
        <v>2042</v>
      </c>
      <c r="AO96" s="203" t="s">
        <v>2033</v>
      </c>
      <c r="AP96" s="152" t="s">
        <v>2024</v>
      </c>
      <c r="AQ96" s="152" t="s">
        <v>37</v>
      </c>
      <c r="AR96" s="170">
        <v>44244</v>
      </c>
      <c r="AS96" s="152" t="s">
        <v>37</v>
      </c>
      <c r="AT96" s="362"/>
      <c r="AU96" s="1111"/>
    </row>
    <row r="97" spans="1:47" s="135" customFormat="1" ht="39.75" thickBot="1" x14ac:dyDescent="0.3">
      <c r="A97" s="489"/>
      <c r="B97" s="133"/>
      <c r="C97" s="78"/>
      <c r="D97" s="569"/>
      <c r="E97" s="569"/>
      <c r="F97" s="78"/>
      <c r="G97" s="144"/>
      <c r="H97" s="119"/>
      <c r="I97" s="133"/>
      <c r="J97" s="192">
        <v>273</v>
      </c>
      <c r="K97" s="79" t="s">
        <v>2015</v>
      </c>
      <c r="L97" s="916">
        <v>1311202.9657999999</v>
      </c>
      <c r="M97" s="916">
        <v>4901791.5615999997</v>
      </c>
      <c r="N97" s="119"/>
      <c r="O97" s="119" t="s">
        <v>2022</v>
      </c>
      <c r="P97" s="78" t="s">
        <v>194</v>
      </c>
      <c r="Q97" s="1072"/>
      <c r="R97" s="1072"/>
      <c r="S97" s="1072"/>
      <c r="T97" s="267" t="s">
        <v>2025</v>
      </c>
      <c r="U97" s="171" t="s">
        <v>1481</v>
      </c>
      <c r="V97" s="154" t="s">
        <v>85</v>
      </c>
      <c r="W97" s="154" t="s">
        <v>85</v>
      </c>
      <c r="X97" s="154" t="s">
        <v>194</v>
      </c>
      <c r="Y97" s="154" t="s">
        <v>2036</v>
      </c>
      <c r="Z97" s="155" t="s">
        <v>289</v>
      </c>
      <c r="AA97" s="154">
        <v>1</v>
      </c>
      <c r="AB97" s="156" t="s">
        <v>2037</v>
      </c>
      <c r="AC97" s="154">
        <v>98.5</v>
      </c>
      <c r="AD97" s="154">
        <f>98.5-10.3</f>
        <v>88.2</v>
      </c>
      <c r="AE97" s="154">
        <f>98.5+10.3</f>
        <v>108.8</v>
      </c>
      <c r="AF97" s="154"/>
      <c r="AG97" s="154"/>
      <c r="AH97" s="154"/>
      <c r="AI97" s="183" t="s">
        <v>256</v>
      </c>
      <c r="AJ97" s="201"/>
      <c r="AK97" s="201"/>
      <c r="AL97" s="443"/>
      <c r="AM97" s="443"/>
      <c r="AN97" s="203" t="s">
        <v>2031</v>
      </c>
      <c r="AO97" s="203" t="s">
        <v>2033</v>
      </c>
      <c r="AP97" s="152" t="s">
        <v>2024</v>
      </c>
      <c r="AQ97" s="152" t="s">
        <v>37</v>
      </c>
      <c r="AR97" s="170">
        <v>44244</v>
      </c>
      <c r="AS97" s="152" t="s">
        <v>37</v>
      </c>
      <c r="AT97" s="362"/>
      <c r="AU97" s="1111"/>
    </row>
    <row r="98" spans="1:47" ht="27" thickBot="1" x14ac:dyDescent="0.3">
      <c r="A98" s="334" t="s">
        <v>2848</v>
      </c>
      <c r="B98" s="333" t="s">
        <v>2848</v>
      </c>
      <c r="C98" s="84">
        <v>183</v>
      </c>
      <c r="D98" s="591" t="s">
        <v>57</v>
      </c>
      <c r="E98" s="591"/>
      <c r="F98" s="414" t="s">
        <v>840</v>
      </c>
      <c r="G98" s="149" t="s">
        <v>4988</v>
      </c>
      <c r="H98" s="109" t="s">
        <v>1210</v>
      </c>
      <c r="I98" s="124" t="s">
        <v>5874</v>
      </c>
      <c r="J98" s="89">
        <v>3028</v>
      </c>
      <c r="K98" s="396" t="s">
        <v>2848</v>
      </c>
      <c r="L98" s="265">
        <v>1925658.6289029999</v>
      </c>
      <c r="M98" s="265">
        <v>5786541.4623729996</v>
      </c>
      <c r="N98" s="109"/>
      <c r="O98" s="109" t="s">
        <v>1374</v>
      </c>
      <c r="P98" s="110" t="s">
        <v>2047</v>
      </c>
      <c r="Q98" s="109"/>
      <c r="R98" s="109"/>
      <c r="S98" s="109"/>
      <c r="T98" s="295" t="s">
        <v>1210</v>
      </c>
      <c r="U98" s="85" t="s">
        <v>16</v>
      </c>
      <c r="V98" s="86" t="s">
        <v>85</v>
      </c>
      <c r="W98" s="86" t="s">
        <v>16</v>
      </c>
      <c r="X98" s="413" t="s">
        <v>193</v>
      </c>
      <c r="Y98" s="197" t="s">
        <v>2849</v>
      </c>
      <c r="Z98" s="92" t="s">
        <v>2727</v>
      </c>
      <c r="AA98" s="86">
        <v>1</v>
      </c>
      <c r="AB98" s="86">
        <v>8.6999999999999993</v>
      </c>
      <c r="AC98" s="86">
        <v>8.6999999999999993</v>
      </c>
      <c r="AD98" s="86"/>
      <c r="AE98" s="86"/>
      <c r="AF98" s="86"/>
      <c r="AG98" s="387"/>
      <c r="AH98" s="387"/>
      <c r="AI98" s="94" t="s">
        <v>2722</v>
      </c>
      <c r="AJ98" s="106"/>
      <c r="AK98" s="86"/>
      <c r="AL98" s="387"/>
      <c r="AM98" s="387"/>
      <c r="AN98" s="342" t="s">
        <v>2850</v>
      </c>
      <c r="AO98" s="94" t="s">
        <v>2846</v>
      </c>
      <c r="AP98" s="92" t="s">
        <v>2767</v>
      </c>
      <c r="AQ98" s="92" t="s">
        <v>2715</v>
      </c>
      <c r="AR98" s="93">
        <v>44067</v>
      </c>
      <c r="AS98" s="92" t="s">
        <v>2715</v>
      </c>
      <c r="AT98" s="93">
        <v>44111</v>
      </c>
      <c r="AU98" s="1108" t="s">
        <v>37</v>
      </c>
    </row>
    <row r="99" spans="1:47" s="8" customFormat="1" ht="65.25" thickBot="1" x14ac:dyDescent="0.3">
      <c r="A99" s="1037" t="s">
        <v>1526</v>
      </c>
      <c r="B99" s="82" t="s">
        <v>1526</v>
      </c>
      <c r="C99" s="64">
        <v>396</v>
      </c>
      <c r="D99" s="82" t="s">
        <v>53</v>
      </c>
      <c r="E99" s="82" t="s">
        <v>57</v>
      </c>
      <c r="F99" s="251" t="s">
        <v>1440</v>
      </c>
      <c r="G99" s="369" t="s">
        <v>3061</v>
      </c>
      <c r="H99" s="251" t="s">
        <v>5032</v>
      </c>
      <c r="I99" s="626" t="s">
        <v>5031</v>
      </c>
      <c r="J99" s="379">
        <v>1107</v>
      </c>
      <c r="K99" s="380" t="s">
        <v>1525</v>
      </c>
      <c r="L99" s="907">
        <v>1807482.966</v>
      </c>
      <c r="M99" s="907">
        <v>5456676.0833000001</v>
      </c>
      <c r="N99" s="301"/>
      <c r="O99" s="301" t="s">
        <v>1524</v>
      </c>
      <c r="P99" s="301" t="s">
        <v>194</v>
      </c>
      <c r="Q99" s="301"/>
      <c r="R99" s="301"/>
      <c r="S99" s="301"/>
      <c r="T99" s="300" t="s">
        <v>1523</v>
      </c>
      <c r="U99" s="293" t="s">
        <v>85</v>
      </c>
      <c r="V99" s="293" t="s">
        <v>85</v>
      </c>
      <c r="W99" s="293" t="s">
        <v>85</v>
      </c>
      <c r="X99" s="293" t="s">
        <v>194</v>
      </c>
      <c r="Y99" s="293" t="s">
        <v>1522</v>
      </c>
      <c r="Z99" s="342" t="s">
        <v>1511</v>
      </c>
      <c r="AA99" s="293">
        <v>2</v>
      </c>
      <c r="AB99" s="307" t="s">
        <v>1480</v>
      </c>
      <c r="AC99" s="293"/>
      <c r="AD99" s="293">
        <v>10</v>
      </c>
      <c r="AE99" s="293">
        <v>18</v>
      </c>
      <c r="AF99" s="293"/>
      <c r="AG99" s="293"/>
      <c r="AH99" s="293"/>
      <c r="AI99" s="292" t="s">
        <v>256</v>
      </c>
      <c r="AJ99" s="293"/>
      <c r="AK99" s="293"/>
      <c r="AL99" s="293">
        <v>2</v>
      </c>
      <c r="AM99" s="293"/>
      <c r="AN99" s="292" t="s">
        <v>6916</v>
      </c>
      <c r="AO99" s="292" t="s">
        <v>1521</v>
      </c>
      <c r="AP99" s="292" t="s">
        <v>1477</v>
      </c>
      <c r="AQ99" s="292" t="s">
        <v>1380</v>
      </c>
      <c r="AR99" s="291">
        <v>44067</v>
      </c>
      <c r="AS99" s="292" t="s">
        <v>1380</v>
      </c>
      <c r="AT99" s="291">
        <v>44088</v>
      </c>
      <c r="AU99" s="309" t="s">
        <v>37</v>
      </c>
    </row>
    <row r="100" spans="1:47" s="8" customFormat="1" ht="103.5" thickBot="1" x14ac:dyDescent="0.3">
      <c r="A100" s="1038"/>
      <c r="B100" s="571"/>
      <c r="C100" s="67"/>
      <c r="D100" s="571"/>
      <c r="E100" s="571"/>
      <c r="F100" s="312"/>
      <c r="G100" s="312"/>
      <c r="H100" s="312"/>
      <c r="I100" s="313"/>
      <c r="J100" s="379">
        <v>1166</v>
      </c>
      <c r="K100" s="380" t="s">
        <v>1520</v>
      </c>
      <c r="L100" s="907">
        <v>1807886.7213000001</v>
      </c>
      <c r="M100" s="907">
        <v>5456879.7307000002</v>
      </c>
      <c r="N100" s="301"/>
      <c r="O100" s="308" t="s">
        <v>41</v>
      </c>
      <c r="P100" s="301" t="s">
        <v>194</v>
      </c>
      <c r="Q100" s="301"/>
      <c r="R100" s="301"/>
      <c r="S100" s="301"/>
      <c r="T100" s="300" t="s">
        <v>1519</v>
      </c>
      <c r="U100" s="293" t="s">
        <v>85</v>
      </c>
      <c r="V100" s="293" t="s">
        <v>85</v>
      </c>
      <c r="W100" s="293" t="s">
        <v>85</v>
      </c>
      <c r="X100" s="293" t="s">
        <v>194</v>
      </c>
      <c r="Y100" s="293">
        <v>3.6</v>
      </c>
      <c r="Z100" s="342" t="s">
        <v>196</v>
      </c>
      <c r="AA100" s="293">
        <v>2</v>
      </c>
      <c r="AB100" s="307" t="s">
        <v>1480</v>
      </c>
      <c r="AC100" s="293"/>
      <c r="AD100" s="293">
        <v>10</v>
      </c>
      <c r="AE100" s="293">
        <v>18</v>
      </c>
      <c r="AF100" s="293"/>
      <c r="AG100" s="293"/>
      <c r="AH100" s="293"/>
      <c r="AI100" s="292" t="s">
        <v>256</v>
      </c>
      <c r="AJ100" s="293"/>
      <c r="AK100" s="293"/>
      <c r="AL100" s="293"/>
      <c r="AM100" s="293"/>
      <c r="AN100" s="292" t="s">
        <v>1518</v>
      </c>
      <c r="AO100" s="292" t="s">
        <v>1506</v>
      </c>
      <c r="AP100" s="292" t="s">
        <v>1477</v>
      </c>
      <c r="AQ100" s="292" t="s">
        <v>1380</v>
      </c>
      <c r="AR100" s="291">
        <v>44067</v>
      </c>
      <c r="AS100" s="292" t="s">
        <v>1380</v>
      </c>
      <c r="AT100" s="291">
        <v>44088</v>
      </c>
      <c r="AU100" s="309" t="s">
        <v>37</v>
      </c>
    </row>
    <row r="101" spans="1:47" s="8" customFormat="1" ht="78" thickBot="1" x14ac:dyDescent="0.3">
      <c r="A101" s="1038"/>
      <c r="B101" s="571"/>
      <c r="C101" s="67"/>
      <c r="D101" s="571"/>
      <c r="E101" s="571"/>
      <c r="F101" s="312"/>
      <c r="G101" s="312"/>
      <c r="H101" s="312"/>
      <c r="I101" s="313"/>
      <c r="J101" s="379">
        <v>1168</v>
      </c>
      <c r="K101" s="380" t="s">
        <v>1517</v>
      </c>
      <c r="L101" s="907">
        <v>1810904.9905999999</v>
      </c>
      <c r="M101" s="907">
        <v>5457825.0389</v>
      </c>
      <c r="N101" s="301"/>
      <c r="O101" s="308" t="s">
        <v>41</v>
      </c>
      <c r="P101" s="301" t="s">
        <v>194</v>
      </c>
      <c r="Q101" s="301"/>
      <c r="R101" s="301"/>
      <c r="S101" s="301"/>
      <c r="T101" s="300" t="s">
        <v>1516</v>
      </c>
      <c r="U101" s="293" t="s">
        <v>85</v>
      </c>
      <c r="V101" s="293" t="s">
        <v>85</v>
      </c>
      <c r="W101" s="293" t="s">
        <v>85</v>
      </c>
      <c r="X101" s="293" t="s">
        <v>194</v>
      </c>
      <c r="Y101" s="293">
        <v>5</v>
      </c>
      <c r="Z101" s="342" t="s">
        <v>196</v>
      </c>
      <c r="AA101" s="293">
        <v>1</v>
      </c>
      <c r="AB101" s="307" t="s">
        <v>1480</v>
      </c>
      <c r="AC101" s="293"/>
      <c r="AD101" s="293">
        <v>10</v>
      </c>
      <c r="AE101" s="293">
        <v>18</v>
      </c>
      <c r="AF101" s="293"/>
      <c r="AG101" s="293"/>
      <c r="AH101" s="293"/>
      <c r="AI101" s="292" t="s">
        <v>256</v>
      </c>
      <c r="AJ101" s="293"/>
      <c r="AK101" s="293"/>
      <c r="AL101" s="293"/>
      <c r="AM101" s="293"/>
      <c r="AN101" s="292" t="s">
        <v>1515</v>
      </c>
      <c r="AO101" s="292" t="s">
        <v>1506</v>
      </c>
      <c r="AP101" s="292" t="s">
        <v>1477</v>
      </c>
      <c r="AQ101" s="292" t="s">
        <v>1380</v>
      </c>
      <c r="AR101" s="291">
        <v>44067</v>
      </c>
      <c r="AS101" s="292" t="s">
        <v>1380</v>
      </c>
      <c r="AT101" s="291">
        <v>44088</v>
      </c>
      <c r="AU101" s="309" t="s">
        <v>37</v>
      </c>
    </row>
    <row r="102" spans="1:47" s="8" customFormat="1" ht="27" thickBot="1" x14ac:dyDescent="0.3">
      <c r="A102" s="1038"/>
      <c r="B102" s="571"/>
      <c r="C102" s="67"/>
      <c r="D102" s="571"/>
      <c r="E102" s="571"/>
      <c r="F102" s="312"/>
      <c r="G102" s="312"/>
      <c r="H102" s="312"/>
      <c r="I102" s="313"/>
      <c r="J102" s="67">
        <v>1169</v>
      </c>
      <c r="K102" s="468" t="s">
        <v>1514</v>
      </c>
      <c r="L102" s="921">
        <v>1811444.6092999999</v>
      </c>
      <c r="M102" s="921">
        <v>5458048.0681999996</v>
      </c>
      <c r="N102" s="306"/>
      <c r="O102" s="311" t="s">
        <v>1513</v>
      </c>
      <c r="P102" s="306" t="s">
        <v>194</v>
      </c>
      <c r="Q102" s="306"/>
      <c r="R102" s="306"/>
      <c r="S102" s="306"/>
      <c r="T102" s="305" t="s">
        <v>1512</v>
      </c>
      <c r="U102" s="281" t="s">
        <v>85</v>
      </c>
      <c r="V102" s="281" t="s">
        <v>85</v>
      </c>
      <c r="W102" s="281" t="s">
        <v>85</v>
      </c>
      <c r="X102" s="281" t="s">
        <v>194</v>
      </c>
      <c r="Y102" s="281">
        <v>4.0999999999999996</v>
      </c>
      <c r="Z102" s="388" t="s">
        <v>1511</v>
      </c>
      <c r="AA102" s="281">
        <v>1</v>
      </c>
      <c r="AB102" s="304" t="s">
        <v>885</v>
      </c>
      <c r="AC102" s="281"/>
      <c r="AD102" s="281">
        <v>10</v>
      </c>
      <c r="AE102" s="281">
        <v>14</v>
      </c>
      <c r="AF102" s="281"/>
      <c r="AG102" s="281"/>
      <c r="AH102" s="281"/>
      <c r="AI102" s="280" t="s">
        <v>256</v>
      </c>
      <c r="AJ102" s="281"/>
      <c r="AK102" s="281"/>
      <c r="AL102" s="281">
        <v>2</v>
      </c>
      <c r="AM102" s="281"/>
      <c r="AN102" s="280" t="s">
        <v>1510</v>
      </c>
      <c r="AO102" s="280" t="s">
        <v>1509</v>
      </c>
      <c r="AP102" s="280" t="s">
        <v>6917</v>
      </c>
      <c r="AQ102" s="280" t="s">
        <v>1380</v>
      </c>
      <c r="AR102" s="279">
        <v>44089</v>
      </c>
      <c r="AS102" s="280" t="s">
        <v>1380</v>
      </c>
      <c r="AT102" s="279">
        <v>44088</v>
      </c>
      <c r="AU102" s="310" t="s">
        <v>37</v>
      </c>
    </row>
    <row r="103" spans="1:47" s="8" customFormat="1" ht="116.25" thickBot="1" x14ac:dyDescent="0.3">
      <c r="A103" s="1038"/>
      <c r="B103" s="571"/>
      <c r="C103" s="67"/>
      <c r="D103" s="571"/>
      <c r="E103" s="571"/>
      <c r="F103" s="312"/>
      <c r="G103" s="312"/>
      <c r="H103" s="312"/>
      <c r="I103" s="313"/>
      <c r="J103" s="379">
        <v>1170</v>
      </c>
      <c r="K103" s="380" t="s">
        <v>1508</v>
      </c>
      <c r="L103" s="907">
        <v>1814153.0005000001</v>
      </c>
      <c r="M103" s="907">
        <v>5458235.1084000003</v>
      </c>
      <c r="N103" s="301"/>
      <c r="O103" s="308" t="s">
        <v>41</v>
      </c>
      <c r="P103" s="301" t="s">
        <v>194</v>
      </c>
      <c r="Q103" s="301"/>
      <c r="R103" s="301"/>
      <c r="S103" s="301"/>
      <c r="T103" s="300" t="s">
        <v>1507</v>
      </c>
      <c r="U103" s="293" t="s">
        <v>85</v>
      </c>
      <c r="V103" s="293" t="s">
        <v>85</v>
      </c>
      <c r="W103" s="293" t="s">
        <v>85</v>
      </c>
      <c r="X103" s="293" t="s">
        <v>194</v>
      </c>
      <c r="Y103" s="293">
        <v>4.4000000000000004</v>
      </c>
      <c r="Z103" s="342" t="s">
        <v>196</v>
      </c>
      <c r="AA103" s="293">
        <v>2</v>
      </c>
      <c r="AB103" s="307" t="s">
        <v>1480</v>
      </c>
      <c r="AC103" s="293"/>
      <c r="AD103" s="293">
        <v>10</v>
      </c>
      <c r="AE103" s="293">
        <v>18</v>
      </c>
      <c r="AF103" s="293"/>
      <c r="AG103" s="293"/>
      <c r="AH103" s="293"/>
      <c r="AI103" s="292" t="s">
        <v>256</v>
      </c>
      <c r="AJ103" s="293"/>
      <c r="AK103" s="293"/>
      <c r="AL103" s="293"/>
      <c r="AM103" s="293"/>
      <c r="AN103" s="292" t="s">
        <v>10080</v>
      </c>
      <c r="AO103" s="292" t="s">
        <v>1506</v>
      </c>
      <c r="AP103" s="292" t="s">
        <v>1477</v>
      </c>
      <c r="AQ103" s="292" t="s">
        <v>1380</v>
      </c>
      <c r="AR103" s="291">
        <v>44067</v>
      </c>
      <c r="AS103" s="292" t="s">
        <v>1380</v>
      </c>
      <c r="AT103" s="291">
        <v>44088</v>
      </c>
      <c r="AU103" s="309" t="s">
        <v>37</v>
      </c>
    </row>
    <row r="104" spans="1:47" s="8" customFormat="1" ht="78" thickBot="1" x14ac:dyDescent="0.3">
      <c r="A104" s="1038"/>
      <c r="B104" s="571"/>
      <c r="C104" s="67"/>
      <c r="D104" s="571"/>
      <c r="E104" s="571"/>
      <c r="F104" s="312"/>
      <c r="G104" s="312"/>
      <c r="H104" s="312"/>
      <c r="I104" s="313"/>
      <c r="J104" s="67">
        <v>1171</v>
      </c>
      <c r="K104" s="468" t="s">
        <v>1505</v>
      </c>
      <c r="L104" s="921">
        <v>1817853.5474</v>
      </c>
      <c r="M104" s="921">
        <v>5457835.1775000002</v>
      </c>
      <c r="N104" s="306"/>
      <c r="O104" s="311" t="s">
        <v>41</v>
      </c>
      <c r="P104" s="306" t="s">
        <v>5</v>
      </c>
      <c r="Q104" s="306"/>
      <c r="R104" s="306"/>
      <c r="S104" s="306"/>
      <c r="T104" s="305" t="s">
        <v>1504</v>
      </c>
      <c r="U104" s="281" t="s">
        <v>16</v>
      </c>
      <c r="V104" s="281" t="s">
        <v>85</v>
      </c>
      <c r="W104" s="281" t="s">
        <v>16</v>
      </c>
      <c r="X104" s="281" t="s">
        <v>5</v>
      </c>
      <c r="Y104" s="281" t="s">
        <v>5029</v>
      </c>
      <c r="Z104" s="388" t="s">
        <v>24</v>
      </c>
      <c r="AA104" s="281"/>
      <c r="AB104" s="304" t="s">
        <v>1500</v>
      </c>
      <c r="AC104" s="281"/>
      <c r="AD104" s="281">
        <v>10</v>
      </c>
      <c r="AE104" s="281">
        <v>18</v>
      </c>
      <c r="AF104" s="281"/>
      <c r="AG104" s="281"/>
      <c r="AH104" s="281"/>
      <c r="AI104" s="280" t="s">
        <v>256</v>
      </c>
      <c r="AJ104" s="281"/>
      <c r="AK104" s="281"/>
      <c r="AL104" s="281"/>
      <c r="AM104" s="281"/>
      <c r="AN104" s="280" t="s">
        <v>1503</v>
      </c>
      <c r="AO104" s="280" t="s">
        <v>1498</v>
      </c>
      <c r="AP104" s="280" t="s">
        <v>1477</v>
      </c>
      <c r="AQ104" s="280" t="s">
        <v>1380</v>
      </c>
      <c r="AR104" s="279">
        <v>44067</v>
      </c>
      <c r="AS104" s="280" t="s">
        <v>1380</v>
      </c>
      <c r="AT104" s="279">
        <v>44088</v>
      </c>
      <c r="AU104" s="310" t="s">
        <v>37</v>
      </c>
    </row>
    <row r="105" spans="1:47" s="8" customFormat="1" ht="103.5" thickBot="1" x14ac:dyDescent="0.3">
      <c r="A105" s="1038"/>
      <c r="B105" s="571"/>
      <c r="C105" s="67"/>
      <c r="D105" s="571"/>
      <c r="E105" s="571"/>
      <c r="F105" s="312"/>
      <c r="G105" s="312"/>
      <c r="H105" s="312"/>
      <c r="I105" s="313"/>
      <c r="J105" s="379">
        <v>1172</v>
      </c>
      <c r="K105" s="380" t="s">
        <v>1502</v>
      </c>
      <c r="L105" s="907">
        <v>1818059.0815999999</v>
      </c>
      <c r="M105" s="907">
        <v>5457825.0884999996</v>
      </c>
      <c r="N105" s="301"/>
      <c r="O105" s="308" t="s">
        <v>41</v>
      </c>
      <c r="P105" s="301" t="s">
        <v>61</v>
      </c>
      <c r="Q105" s="301"/>
      <c r="R105" s="301"/>
      <c r="S105" s="301"/>
      <c r="T105" s="300" t="s">
        <v>1501</v>
      </c>
      <c r="U105" s="293" t="s">
        <v>16</v>
      </c>
      <c r="V105" s="293" t="s">
        <v>85</v>
      </c>
      <c r="W105" s="293" t="s">
        <v>16</v>
      </c>
      <c r="X105" s="293" t="s">
        <v>61</v>
      </c>
      <c r="Y105" s="293" t="s">
        <v>5030</v>
      </c>
      <c r="Z105" s="342" t="s">
        <v>24</v>
      </c>
      <c r="AA105" s="293"/>
      <c r="AB105" s="307" t="s">
        <v>1500</v>
      </c>
      <c r="AC105" s="293"/>
      <c r="AD105" s="293">
        <v>10</v>
      </c>
      <c r="AE105" s="293">
        <v>18</v>
      </c>
      <c r="AF105" s="293"/>
      <c r="AG105" s="293"/>
      <c r="AH105" s="293"/>
      <c r="AI105" s="292" t="s">
        <v>256</v>
      </c>
      <c r="AJ105" s="293"/>
      <c r="AK105" s="293"/>
      <c r="AL105" s="293"/>
      <c r="AM105" s="293"/>
      <c r="AN105" s="292" t="s">
        <v>1499</v>
      </c>
      <c r="AO105" s="292" t="s">
        <v>1498</v>
      </c>
      <c r="AP105" s="292" t="s">
        <v>1477</v>
      </c>
      <c r="AQ105" s="292" t="s">
        <v>1380</v>
      </c>
      <c r="AR105" s="291">
        <v>44067</v>
      </c>
      <c r="AS105" s="292" t="s">
        <v>1380</v>
      </c>
      <c r="AT105" s="291">
        <v>44088</v>
      </c>
      <c r="AU105" s="309" t="s">
        <v>37</v>
      </c>
    </row>
    <row r="106" spans="1:47" s="8" customFormat="1" ht="103.5" thickBot="1" x14ac:dyDescent="0.3">
      <c r="A106" s="1038"/>
      <c r="B106" s="571"/>
      <c r="C106" s="67"/>
      <c r="D106" s="571"/>
      <c r="E106" s="571"/>
      <c r="F106" s="312"/>
      <c r="G106" s="312"/>
      <c r="H106" s="312"/>
      <c r="I106" s="313"/>
      <c r="J106" s="67">
        <v>1173</v>
      </c>
      <c r="K106" s="468" t="s">
        <v>1497</v>
      </c>
      <c r="L106" s="921">
        <v>1818598.7004</v>
      </c>
      <c r="M106" s="921">
        <v>5457771.3119000001</v>
      </c>
      <c r="N106" s="306"/>
      <c r="O106" s="311" t="s">
        <v>41</v>
      </c>
      <c r="P106" s="306" t="s">
        <v>194</v>
      </c>
      <c r="Q106" s="306"/>
      <c r="R106" s="306"/>
      <c r="S106" s="306"/>
      <c r="T106" s="305" t="s">
        <v>1496</v>
      </c>
      <c r="U106" s="281" t="s">
        <v>85</v>
      </c>
      <c r="V106" s="281" t="s">
        <v>85</v>
      </c>
      <c r="W106" s="281" t="s">
        <v>85</v>
      </c>
      <c r="X106" s="281" t="s">
        <v>194</v>
      </c>
      <c r="Y106" s="281">
        <v>2.7</v>
      </c>
      <c r="Z106" s="388" t="s">
        <v>196</v>
      </c>
      <c r="AA106" s="281"/>
      <c r="AB106" s="304" t="s">
        <v>1480</v>
      </c>
      <c r="AC106" s="281"/>
      <c r="AD106" s="281">
        <v>10</v>
      </c>
      <c r="AE106" s="281">
        <v>18</v>
      </c>
      <c r="AF106" s="281"/>
      <c r="AG106" s="281"/>
      <c r="AH106" s="281"/>
      <c r="AI106" s="280" t="s">
        <v>256</v>
      </c>
      <c r="AJ106" s="281"/>
      <c r="AK106" s="281"/>
      <c r="AL106" s="281"/>
      <c r="AM106" s="281"/>
      <c r="AN106" s="280" t="s">
        <v>1495</v>
      </c>
      <c r="AO106" s="280" t="s">
        <v>1494</v>
      </c>
      <c r="AP106" s="280" t="s">
        <v>1477</v>
      </c>
      <c r="AQ106" s="280" t="s">
        <v>1380</v>
      </c>
      <c r="AR106" s="279">
        <v>44067</v>
      </c>
      <c r="AS106" s="280" t="s">
        <v>1380</v>
      </c>
      <c r="AT106" s="279">
        <v>44088</v>
      </c>
      <c r="AU106" s="310" t="s">
        <v>37</v>
      </c>
    </row>
    <row r="107" spans="1:47" s="8" customFormat="1" ht="103.5" thickBot="1" x14ac:dyDescent="0.3">
      <c r="A107" s="1038"/>
      <c r="B107" s="571"/>
      <c r="C107" s="67"/>
      <c r="D107" s="571"/>
      <c r="E107" s="571"/>
      <c r="F107" s="312"/>
      <c r="G107" s="312"/>
      <c r="H107" s="312"/>
      <c r="I107" s="313"/>
      <c r="J107" s="379">
        <v>1174</v>
      </c>
      <c r="K107" s="380" t="s">
        <v>1493</v>
      </c>
      <c r="L107" s="907">
        <v>1819389.3419999999</v>
      </c>
      <c r="M107" s="907">
        <v>5457690.3620999996</v>
      </c>
      <c r="N107" s="301"/>
      <c r="O107" s="308" t="s">
        <v>41</v>
      </c>
      <c r="P107" s="301" t="s">
        <v>194</v>
      </c>
      <c r="Q107" s="301"/>
      <c r="R107" s="301"/>
      <c r="S107" s="301"/>
      <c r="T107" s="300" t="s">
        <v>1492</v>
      </c>
      <c r="U107" s="293" t="s">
        <v>85</v>
      </c>
      <c r="V107" s="293" t="s">
        <v>85</v>
      </c>
      <c r="W107" s="293" t="s">
        <v>85</v>
      </c>
      <c r="X107" s="293" t="s">
        <v>194</v>
      </c>
      <c r="Y107" s="293">
        <v>7.9</v>
      </c>
      <c r="Z107" s="342" t="s">
        <v>196</v>
      </c>
      <c r="AA107" s="293">
        <v>3</v>
      </c>
      <c r="AB107" s="293" t="s">
        <v>1491</v>
      </c>
      <c r="AC107" s="293"/>
      <c r="AD107" s="293">
        <v>60</v>
      </c>
      <c r="AE107" s="293">
        <v>80</v>
      </c>
      <c r="AF107" s="293"/>
      <c r="AG107" s="293"/>
      <c r="AH107" s="293"/>
      <c r="AI107" s="292" t="s">
        <v>256</v>
      </c>
      <c r="AJ107" s="293"/>
      <c r="AK107" s="293"/>
      <c r="AL107" s="293"/>
      <c r="AM107" s="293"/>
      <c r="AN107" s="292" t="s">
        <v>1490</v>
      </c>
      <c r="AO107" s="292" t="s">
        <v>1489</v>
      </c>
      <c r="AP107" s="292" t="s">
        <v>1477</v>
      </c>
      <c r="AQ107" s="292" t="s">
        <v>1380</v>
      </c>
      <c r="AR107" s="291">
        <v>44067</v>
      </c>
      <c r="AS107" s="292" t="s">
        <v>1380</v>
      </c>
      <c r="AT107" s="291">
        <v>44088</v>
      </c>
      <c r="AU107" s="309" t="s">
        <v>37</v>
      </c>
    </row>
    <row r="108" spans="1:47" s="8" customFormat="1" ht="90.75" thickBot="1" x14ac:dyDescent="0.3">
      <c r="A108" s="1038"/>
      <c r="B108" s="571"/>
      <c r="C108" s="67"/>
      <c r="D108" s="571"/>
      <c r="E108" s="571"/>
      <c r="F108" s="312"/>
      <c r="G108" s="312"/>
      <c r="H108" s="312"/>
      <c r="I108" s="313"/>
      <c r="J108" s="379">
        <v>1175</v>
      </c>
      <c r="K108" s="380" t="s">
        <v>1488</v>
      </c>
      <c r="L108" s="907">
        <v>1821793.4828999999</v>
      </c>
      <c r="M108" s="907">
        <v>5457405.6122000003</v>
      </c>
      <c r="N108" s="301"/>
      <c r="O108" s="308" t="s">
        <v>41</v>
      </c>
      <c r="P108" s="301" t="s">
        <v>194</v>
      </c>
      <c r="Q108" s="301"/>
      <c r="R108" s="301"/>
      <c r="S108" s="301"/>
      <c r="T108" s="300" t="s">
        <v>1487</v>
      </c>
      <c r="U108" s="293" t="s">
        <v>85</v>
      </c>
      <c r="V108" s="293" t="s">
        <v>85</v>
      </c>
      <c r="W108" s="293" t="s">
        <v>85</v>
      </c>
      <c r="X108" s="293" t="s">
        <v>194</v>
      </c>
      <c r="Y108" s="293" t="s">
        <v>1486</v>
      </c>
      <c r="Z108" s="342" t="s">
        <v>196</v>
      </c>
      <c r="AA108" s="293"/>
      <c r="AB108" s="307" t="s">
        <v>1480</v>
      </c>
      <c r="AC108" s="293"/>
      <c r="AD108" s="293">
        <v>10</v>
      </c>
      <c r="AE108" s="293">
        <v>18</v>
      </c>
      <c r="AF108" s="293"/>
      <c r="AG108" s="293"/>
      <c r="AH108" s="293"/>
      <c r="AI108" s="292" t="s">
        <v>256</v>
      </c>
      <c r="AJ108" s="293"/>
      <c r="AK108" s="293"/>
      <c r="AL108" s="293"/>
      <c r="AM108" s="293"/>
      <c r="AN108" s="292" t="s">
        <v>1485</v>
      </c>
      <c r="AO108" s="292" t="s">
        <v>1484</v>
      </c>
      <c r="AP108" s="292" t="s">
        <v>1477</v>
      </c>
      <c r="AQ108" s="292" t="s">
        <v>1380</v>
      </c>
      <c r="AR108" s="291">
        <v>44067</v>
      </c>
      <c r="AS108" s="292" t="s">
        <v>1380</v>
      </c>
      <c r="AT108" s="291">
        <v>44088</v>
      </c>
      <c r="AU108" s="309" t="s">
        <v>37</v>
      </c>
    </row>
    <row r="109" spans="1:47" s="8" customFormat="1" ht="90.75" thickBot="1" x14ac:dyDescent="0.3">
      <c r="A109" s="1038"/>
      <c r="B109" s="571"/>
      <c r="C109" s="67"/>
      <c r="D109" s="571"/>
      <c r="E109" s="571"/>
      <c r="F109" s="312"/>
      <c r="G109" s="312"/>
      <c r="H109" s="312"/>
      <c r="I109" s="313"/>
      <c r="J109" s="379">
        <v>1177</v>
      </c>
      <c r="K109" s="380" t="s">
        <v>1483</v>
      </c>
      <c r="L109" s="907">
        <v>1836788.5342999999</v>
      </c>
      <c r="M109" s="907">
        <v>5461962.3224999998</v>
      </c>
      <c r="N109" s="301"/>
      <c r="O109" s="308" t="s">
        <v>41</v>
      </c>
      <c r="P109" s="301" t="s">
        <v>194</v>
      </c>
      <c r="Q109" s="301"/>
      <c r="R109" s="301"/>
      <c r="S109" s="301"/>
      <c r="T109" s="300" t="s">
        <v>1482</v>
      </c>
      <c r="U109" s="293" t="s">
        <v>85</v>
      </c>
      <c r="V109" s="293" t="s">
        <v>1481</v>
      </c>
      <c r="W109" s="293" t="s">
        <v>1481</v>
      </c>
      <c r="X109" s="293" t="s">
        <v>194</v>
      </c>
      <c r="Y109" s="293">
        <v>1.5</v>
      </c>
      <c r="Z109" s="342" t="s">
        <v>196</v>
      </c>
      <c r="AA109" s="293"/>
      <c r="AB109" s="307" t="s">
        <v>1480</v>
      </c>
      <c r="AC109" s="293"/>
      <c r="AD109" s="293">
        <v>10</v>
      </c>
      <c r="AE109" s="293">
        <v>18</v>
      </c>
      <c r="AF109" s="293"/>
      <c r="AG109" s="293"/>
      <c r="AH109" s="293"/>
      <c r="AI109" s="292" t="s">
        <v>256</v>
      </c>
      <c r="AJ109" s="293"/>
      <c r="AK109" s="293"/>
      <c r="AL109" s="293"/>
      <c r="AM109" s="293"/>
      <c r="AN109" s="292" t="s">
        <v>1479</v>
      </c>
      <c r="AO109" s="292" t="s">
        <v>1478</v>
      </c>
      <c r="AP109" s="292" t="s">
        <v>1477</v>
      </c>
      <c r="AQ109" s="292" t="s">
        <v>1380</v>
      </c>
      <c r="AR109" s="291">
        <v>44067</v>
      </c>
      <c r="AS109" s="292" t="s">
        <v>1380</v>
      </c>
      <c r="AT109" s="291">
        <v>44089</v>
      </c>
      <c r="AU109" s="290" t="s">
        <v>37</v>
      </c>
    </row>
    <row r="110" spans="1:47" s="8" customFormat="1" ht="27" thickBot="1" x14ac:dyDescent="0.3">
      <c r="A110" s="1038"/>
      <c r="B110" s="571"/>
      <c r="C110" s="67"/>
      <c r="D110" s="571"/>
      <c r="E110" s="571"/>
      <c r="F110" s="312"/>
      <c r="G110" s="312"/>
      <c r="H110" s="312"/>
      <c r="I110" s="313"/>
      <c r="J110" s="379">
        <v>1110</v>
      </c>
      <c r="K110" s="380" t="s">
        <v>1476</v>
      </c>
      <c r="L110" s="907">
        <v>1811508.1827</v>
      </c>
      <c r="M110" s="907">
        <v>5458065.4737999998</v>
      </c>
      <c r="N110" s="301"/>
      <c r="O110" s="301">
        <v>0.6</v>
      </c>
      <c r="P110" s="301" t="s">
        <v>194</v>
      </c>
      <c r="Q110" s="301"/>
      <c r="R110" s="301"/>
      <c r="S110" s="301"/>
      <c r="T110" s="300" t="s">
        <v>1475</v>
      </c>
      <c r="U110" s="293" t="s">
        <v>85</v>
      </c>
      <c r="V110" s="293" t="s">
        <v>16</v>
      </c>
      <c r="W110" s="293" t="s">
        <v>85</v>
      </c>
      <c r="X110" s="293" t="s">
        <v>194</v>
      </c>
      <c r="Y110" s="293">
        <v>2.2999999999999998</v>
      </c>
      <c r="Z110" s="342" t="s">
        <v>196</v>
      </c>
      <c r="AA110" s="293"/>
      <c r="AB110" s="293" t="s">
        <v>1474</v>
      </c>
      <c r="AC110" s="293">
        <v>4</v>
      </c>
      <c r="AD110" s="293"/>
      <c r="AE110" s="293"/>
      <c r="AF110" s="293"/>
      <c r="AG110" s="293"/>
      <c r="AH110" s="293"/>
      <c r="AI110" s="292" t="s">
        <v>549</v>
      </c>
      <c r="AJ110" s="307"/>
      <c r="AK110" s="293"/>
      <c r="AL110" s="293"/>
      <c r="AM110" s="293"/>
      <c r="AN110" s="292" t="s">
        <v>1473</v>
      </c>
      <c r="AO110" s="292" t="s">
        <v>1472</v>
      </c>
      <c r="AP110" s="292" t="s">
        <v>1471</v>
      </c>
      <c r="AQ110" s="292" t="s">
        <v>1380</v>
      </c>
      <c r="AR110" s="291">
        <v>44082</v>
      </c>
      <c r="AS110" s="292" t="s">
        <v>1380</v>
      </c>
      <c r="AT110" s="291">
        <v>44089</v>
      </c>
      <c r="AU110" s="290" t="s">
        <v>37</v>
      </c>
    </row>
    <row r="111" spans="1:47" s="135" customFormat="1" ht="65.25" thickBot="1" x14ac:dyDescent="0.3">
      <c r="A111" s="488"/>
      <c r="B111" s="131"/>
      <c r="C111" s="75"/>
      <c r="D111" s="568"/>
      <c r="E111" s="568"/>
      <c r="F111" s="75"/>
      <c r="G111" s="143"/>
      <c r="H111" s="118"/>
      <c r="I111" s="121"/>
      <c r="J111" s="379" t="s">
        <v>2156</v>
      </c>
      <c r="K111" s="380" t="s">
        <v>5028</v>
      </c>
      <c r="L111" s="907" t="s">
        <v>2156</v>
      </c>
      <c r="M111" s="907" t="s">
        <v>2156</v>
      </c>
      <c r="N111" s="301"/>
      <c r="O111" s="308" t="s">
        <v>5022</v>
      </c>
      <c r="P111" s="301" t="s">
        <v>61</v>
      </c>
      <c r="Q111" s="301"/>
      <c r="R111" s="301"/>
      <c r="S111" s="301"/>
      <c r="T111" s="300" t="s">
        <v>6790</v>
      </c>
      <c r="U111" s="375"/>
      <c r="V111" s="375"/>
      <c r="W111" s="375"/>
      <c r="X111" s="293" t="s">
        <v>61</v>
      </c>
      <c r="Y111" s="307" t="s">
        <v>5023</v>
      </c>
      <c r="Z111" s="342" t="s">
        <v>5024</v>
      </c>
      <c r="AA111" s="293" t="s">
        <v>5025</v>
      </c>
      <c r="AB111" s="307" t="s">
        <v>1480</v>
      </c>
      <c r="AC111" s="293"/>
      <c r="AD111" s="293">
        <v>10</v>
      </c>
      <c r="AE111" s="293">
        <v>18</v>
      </c>
      <c r="AF111" s="293"/>
      <c r="AG111" s="293"/>
      <c r="AH111" s="293"/>
      <c r="AI111" s="292"/>
      <c r="AJ111" s="293"/>
      <c r="AK111" s="293"/>
      <c r="AL111" s="293"/>
      <c r="AM111" s="293"/>
      <c r="AN111" s="292" t="s">
        <v>5026</v>
      </c>
      <c r="AO111" s="292" t="s">
        <v>5027</v>
      </c>
      <c r="AP111" s="292" t="s">
        <v>1477</v>
      </c>
      <c r="AQ111" s="292" t="s">
        <v>1380</v>
      </c>
      <c r="AR111" s="291">
        <v>44067</v>
      </c>
      <c r="AS111" s="292" t="s">
        <v>1380</v>
      </c>
      <c r="AT111" s="291">
        <v>44088</v>
      </c>
      <c r="AU111" s="309" t="s">
        <v>37</v>
      </c>
    </row>
    <row r="112" spans="1:47" s="8" customFormat="1" ht="27" thickBot="1" x14ac:dyDescent="0.3">
      <c r="A112" s="488"/>
      <c r="B112" s="131"/>
      <c r="C112" s="75"/>
      <c r="D112" s="131"/>
      <c r="E112" s="131"/>
      <c r="F112" s="75"/>
      <c r="G112" s="75"/>
      <c r="H112" s="312"/>
      <c r="I112" s="534"/>
      <c r="J112" s="83">
        <v>2700</v>
      </c>
      <c r="K112" s="360" t="s">
        <v>5553</v>
      </c>
      <c r="L112" s="907">
        <v>1843518.0426</v>
      </c>
      <c r="M112" s="907">
        <v>5464708.1133000003</v>
      </c>
      <c r="N112" s="199">
        <v>85</v>
      </c>
      <c r="O112" s="199" t="s">
        <v>5154</v>
      </c>
      <c r="P112" s="199" t="s">
        <v>5</v>
      </c>
      <c r="Q112" s="301">
        <v>1</v>
      </c>
      <c r="R112" s="301">
        <v>1.8</v>
      </c>
      <c r="S112" s="301"/>
      <c r="T112" s="300" t="s">
        <v>5700</v>
      </c>
      <c r="U112" s="294" t="s">
        <v>16</v>
      </c>
      <c r="V112" s="197" t="s">
        <v>85</v>
      </c>
      <c r="W112" s="197" t="s">
        <v>16</v>
      </c>
      <c r="X112" s="197" t="s">
        <v>61</v>
      </c>
      <c r="Y112" s="307" t="s">
        <v>5155</v>
      </c>
      <c r="Z112" s="92" t="s">
        <v>5702</v>
      </c>
      <c r="AA112" s="197">
        <v>2</v>
      </c>
      <c r="AB112" s="307" t="s">
        <v>5156</v>
      </c>
      <c r="AC112" s="197">
        <v>12</v>
      </c>
      <c r="AD112" s="197"/>
      <c r="AE112" s="532"/>
      <c r="AF112" s="197">
        <v>10</v>
      </c>
      <c r="AG112" s="532"/>
      <c r="AH112" s="532"/>
      <c r="AI112" s="292" t="s">
        <v>256</v>
      </c>
      <c r="AJ112" s="197" t="s">
        <v>3459</v>
      </c>
      <c r="AK112" s="197"/>
      <c r="AL112" s="197"/>
      <c r="AM112" s="197"/>
      <c r="AN112" s="94" t="s">
        <v>6919</v>
      </c>
      <c r="AO112" s="292" t="s">
        <v>5157</v>
      </c>
      <c r="AP112" s="292" t="s">
        <v>6920</v>
      </c>
      <c r="AQ112" s="292" t="s">
        <v>3457</v>
      </c>
      <c r="AR112" s="291">
        <v>44245</v>
      </c>
      <c r="AS112" s="292" t="s">
        <v>3457</v>
      </c>
      <c r="AT112" s="291">
        <v>44267</v>
      </c>
      <c r="AU112" s="290" t="s">
        <v>37</v>
      </c>
    </row>
    <row r="113" spans="1:47" s="8" customFormat="1" ht="27" thickBot="1" x14ac:dyDescent="0.3">
      <c r="A113" s="489"/>
      <c r="B113" s="133"/>
      <c r="C113" s="78"/>
      <c r="D113" s="133"/>
      <c r="E113" s="133"/>
      <c r="F113" s="78"/>
      <c r="G113" s="78"/>
      <c r="H113" s="233"/>
      <c r="I113" s="533"/>
      <c r="J113" s="83">
        <v>2701</v>
      </c>
      <c r="K113" s="360" t="s">
        <v>5158</v>
      </c>
      <c r="L113" s="907">
        <v>1846028.1972000001</v>
      </c>
      <c r="M113" s="907">
        <v>5465192.6990999999</v>
      </c>
      <c r="N113" s="199">
        <v>85</v>
      </c>
      <c r="O113" s="199" t="s">
        <v>5159</v>
      </c>
      <c r="P113" s="199" t="s">
        <v>5</v>
      </c>
      <c r="Q113" s="301">
        <v>0.5</v>
      </c>
      <c r="R113" s="301">
        <v>1</v>
      </c>
      <c r="S113" s="301"/>
      <c r="T113" s="300" t="s">
        <v>5701</v>
      </c>
      <c r="U113" s="294" t="s">
        <v>16</v>
      </c>
      <c r="V113" s="197" t="s">
        <v>85</v>
      </c>
      <c r="W113" s="197" t="s">
        <v>16</v>
      </c>
      <c r="X113" s="197" t="s">
        <v>5</v>
      </c>
      <c r="Y113" s="307" t="s">
        <v>5160</v>
      </c>
      <c r="Z113" s="92" t="s">
        <v>5702</v>
      </c>
      <c r="AA113" s="197">
        <v>2</v>
      </c>
      <c r="AB113" s="307" t="s">
        <v>5156</v>
      </c>
      <c r="AC113" s="197">
        <v>12</v>
      </c>
      <c r="AD113" s="197"/>
      <c r="AE113" s="532"/>
      <c r="AF113" s="197">
        <v>10</v>
      </c>
      <c r="AG113" s="532"/>
      <c r="AH113" s="532"/>
      <c r="AI113" s="292" t="s">
        <v>256</v>
      </c>
      <c r="AJ113" s="197" t="s">
        <v>3459</v>
      </c>
      <c r="AK113" s="197"/>
      <c r="AL113" s="197"/>
      <c r="AM113" s="197"/>
      <c r="AN113" s="94" t="s">
        <v>6919</v>
      </c>
      <c r="AO113" s="292" t="s">
        <v>5157</v>
      </c>
      <c r="AP113" s="292" t="s">
        <v>6920</v>
      </c>
      <c r="AQ113" s="292" t="s">
        <v>3457</v>
      </c>
      <c r="AR113" s="291">
        <v>44245</v>
      </c>
      <c r="AS113" s="292" t="s">
        <v>3457</v>
      </c>
      <c r="AT113" s="291">
        <v>44267</v>
      </c>
      <c r="AU113" s="290" t="s">
        <v>37</v>
      </c>
    </row>
    <row r="114" spans="1:47" ht="78" thickBot="1" x14ac:dyDescent="0.3">
      <c r="A114" s="341" t="s">
        <v>566</v>
      </c>
      <c r="B114" s="181" t="s">
        <v>6803</v>
      </c>
      <c r="C114" s="125">
        <v>543</v>
      </c>
      <c r="D114" s="585" t="s">
        <v>53</v>
      </c>
      <c r="E114" s="585"/>
      <c r="F114" s="125" t="s">
        <v>567</v>
      </c>
      <c r="G114" s="145" t="s">
        <v>1974</v>
      </c>
      <c r="H114" s="126" t="s">
        <v>5034</v>
      </c>
      <c r="I114" s="247" t="s">
        <v>5035</v>
      </c>
      <c r="J114" s="189">
        <v>129</v>
      </c>
      <c r="K114" s="355" t="s">
        <v>751</v>
      </c>
      <c r="L114" s="911">
        <v>1603627.9228000001</v>
      </c>
      <c r="M114" s="911">
        <v>5319679.7860000003</v>
      </c>
      <c r="N114" s="126"/>
      <c r="O114" s="126" t="s">
        <v>756</v>
      </c>
      <c r="P114" s="126" t="s">
        <v>5</v>
      </c>
      <c r="Q114" s="126"/>
      <c r="R114" s="126"/>
      <c r="S114" s="126"/>
      <c r="T114" s="1081" t="s">
        <v>2258</v>
      </c>
      <c r="U114" s="85" t="s">
        <v>85</v>
      </c>
      <c r="V114" s="86" t="s">
        <v>85</v>
      </c>
      <c r="W114" s="86" t="s">
        <v>85</v>
      </c>
      <c r="X114" s="197" t="s">
        <v>5</v>
      </c>
      <c r="Y114" s="86" t="s">
        <v>757</v>
      </c>
      <c r="Z114" s="92" t="s">
        <v>753</v>
      </c>
      <c r="AA114" s="197">
        <v>1</v>
      </c>
      <c r="AB114" s="197">
        <v>1800</v>
      </c>
      <c r="AC114" s="86">
        <v>1800</v>
      </c>
      <c r="AD114" s="86">
        <v>1500</v>
      </c>
      <c r="AE114" s="86">
        <v>2500</v>
      </c>
      <c r="AF114" s="86"/>
      <c r="AG114" s="86"/>
      <c r="AH114" s="86"/>
      <c r="AI114" s="94" t="s">
        <v>256</v>
      </c>
      <c r="AJ114" s="106"/>
      <c r="AK114" s="106"/>
      <c r="AL114" s="387"/>
      <c r="AM114" s="387"/>
      <c r="AN114" s="94" t="s">
        <v>755</v>
      </c>
      <c r="AO114" s="92" t="s">
        <v>754</v>
      </c>
      <c r="AP114" s="92" t="s">
        <v>7544</v>
      </c>
      <c r="AQ114" s="92" t="s">
        <v>37</v>
      </c>
      <c r="AR114" s="93">
        <v>44063</v>
      </c>
      <c r="AS114" s="92" t="s">
        <v>37</v>
      </c>
      <c r="AT114" s="368"/>
      <c r="AU114" s="1108"/>
    </row>
    <row r="115" spans="1:47" ht="64.5" x14ac:dyDescent="0.25">
      <c r="A115" s="339"/>
      <c r="B115" s="116"/>
      <c r="C115" s="95"/>
      <c r="D115" s="567"/>
      <c r="E115" s="567"/>
      <c r="F115" s="95"/>
      <c r="G115" s="146"/>
      <c r="H115" s="108"/>
      <c r="I115" s="122"/>
      <c r="J115" s="191">
        <v>107</v>
      </c>
      <c r="K115" s="359" t="s">
        <v>678</v>
      </c>
      <c r="L115" s="913">
        <v>1609823.9541</v>
      </c>
      <c r="M115" s="913">
        <v>5323098.3492000001</v>
      </c>
      <c r="N115" s="108"/>
      <c r="O115" s="108" t="s">
        <v>679</v>
      </c>
      <c r="P115" s="95" t="s">
        <v>5</v>
      </c>
      <c r="Q115" s="108"/>
      <c r="R115" s="108"/>
      <c r="S115" s="108" t="s">
        <v>680</v>
      </c>
      <c r="T115" s="184" t="s">
        <v>680</v>
      </c>
      <c r="U115" s="31" t="s">
        <v>85</v>
      </c>
      <c r="V115" s="31" t="s">
        <v>16</v>
      </c>
      <c r="W115" s="31" t="s">
        <v>85</v>
      </c>
      <c r="X115" s="31" t="s">
        <v>5</v>
      </c>
      <c r="Y115" s="31">
        <v>56</v>
      </c>
      <c r="Z115" s="40" t="s">
        <v>58</v>
      </c>
      <c r="AA115" s="31">
        <v>1</v>
      </c>
      <c r="AB115" s="97" t="s">
        <v>672</v>
      </c>
      <c r="AC115" s="31">
        <v>18</v>
      </c>
      <c r="AD115" s="31">
        <v>16</v>
      </c>
      <c r="AE115" s="31">
        <v>20</v>
      </c>
      <c r="AF115" s="31"/>
      <c r="AG115" s="31"/>
      <c r="AH115" s="31"/>
      <c r="AI115" s="30" t="s">
        <v>256</v>
      </c>
      <c r="AJ115" s="130"/>
      <c r="AK115" s="130"/>
      <c r="AL115" s="372"/>
      <c r="AM115" s="372"/>
      <c r="AN115" s="30" t="s">
        <v>681</v>
      </c>
      <c r="AO115" s="40" t="s">
        <v>674</v>
      </c>
      <c r="AP115" s="40" t="s">
        <v>693</v>
      </c>
      <c r="AQ115" s="40" t="s">
        <v>37</v>
      </c>
      <c r="AR115" s="41">
        <v>44055</v>
      </c>
      <c r="AS115" s="40" t="s">
        <v>37</v>
      </c>
      <c r="AT115" s="54"/>
      <c r="AU115" s="652"/>
    </row>
    <row r="116" spans="1:47" ht="64.5" x14ac:dyDescent="0.25">
      <c r="A116" s="339"/>
      <c r="B116" s="116"/>
      <c r="C116" s="95"/>
      <c r="D116" s="567"/>
      <c r="E116" s="567"/>
      <c r="F116" s="95"/>
      <c r="G116" s="146"/>
      <c r="H116" s="108"/>
      <c r="I116" s="122"/>
      <c r="J116" s="191">
        <v>104</v>
      </c>
      <c r="K116" s="359" t="s">
        <v>682</v>
      </c>
      <c r="L116" s="913">
        <v>1590662.0876</v>
      </c>
      <c r="M116" s="913">
        <v>5311183.0549999997</v>
      </c>
      <c r="N116" s="108"/>
      <c r="O116" s="108" t="s">
        <v>683</v>
      </c>
      <c r="P116" s="95" t="s">
        <v>5</v>
      </c>
      <c r="Q116" s="108"/>
      <c r="R116" s="108"/>
      <c r="S116" s="108" t="s">
        <v>684</v>
      </c>
      <c r="T116" s="184" t="s">
        <v>684</v>
      </c>
      <c r="U116" s="24" t="s">
        <v>85</v>
      </c>
      <c r="V116" s="24" t="s">
        <v>16</v>
      </c>
      <c r="W116" s="24" t="s">
        <v>85</v>
      </c>
      <c r="X116" s="24" t="s">
        <v>5</v>
      </c>
      <c r="Y116" s="24">
        <v>60</v>
      </c>
      <c r="Z116" s="46" t="s">
        <v>604</v>
      </c>
      <c r="AA116" s="24">
        <v>1</v>
      </c>
      <c r="AB116" s="117" t="s">
        <v>672</v>
      </c>
      <c r="AC116" s="24">
        <v>18</v>
      </c>
      <c r="AD116" s="24">
        <v>16</v>
      </c>
      <c r="AE116" s="24">
        <v>20</v>
      </c>
      <c r="AF116" s="24"/>
      <c r="AG116" s="24"/>
      <c r="AH116" s="24"/>
      <c r="AI116" s="45" t="s">
        <v>256</v>
      </c>
      <c r="AJ116" s="103"/>
      <c r="AK116" s="103"/>
      <c r="AL116" s="351"/>
      <c r="AM116" s="351"/>
      <c r="AN116" s="45" t="s">
        <v>681</v>
      </c>
      <c r="AO116" s="46" t="s">
        <v>674</v>
      </c>
      <c r="AP116" s="46" t="s">
        <v>693</v>
      </c>
      <c r="AQ116" s="46" t="s">
        <v>37</v>
      </c>
      <c r="AR116" s="47">
        <v>44055</v>
      </c>
      <c r="AS116" s="46" t="s">
        <v>37</v>
      </c>
      <c r="AT116" s="365"/>
      <c r="AU116" s="1107"/>
    </row>
    <row r="117" spans="1:47" ht="65.25" thickBot="1" x14ac:dyDescent="0.3">
      <c r="A117" s="336"/>
      <c r="B117" s="196"/>
      <c r="C117" s="96"/>
      <c r="D117" s="566"/>
      <c r="E117" s="566"/>
      <c r="F117" s="96"/>
      <c r="G117" s="147"/>
      <c r="H117" s="107"/>
      <c r="I117" s="123"/>
      <c r="J117" s="190">
        <v>103</v>
      </c>
      <c r="K117" s="357" t="s">
        <v>685</v>
      </c>
      <c r="L117" s="912">
        <v>1585111.3694</v>
      </c>
      <c r="M117" s="912">
        <v>5307027.4644999998</v>
      </c>
      <c r="N117" s="107"/>
      <c r="O117" s="107" t="s">
        <v>683</v>
      </c>
      <c r="P117" s="96" t="s">
        <v>5</v>
      </c>
      <c r="Q117" s="107"/>
      <c r="R117" s="107"/>
      <c r="S117" s="107" t="s">
        <v>684</v>
      </c>
      <c r="T117" s="127" t="s">
        <v>684</v>
      </c>
      <c r="U117" s="25" t="s">
        <v>85</v>
      </c>
      <c r="V117" s="25" t="s">
        <v>16</v>
      </c>
      <c r="W117" s="25" t="s">
        <v>85</v>
      </c>
      <c r="X117" s="25" t="s">
        <v>5</v>
      </c>
      <c r="Y117" s="25">
        <v>60</v>
      </c>
      <c r="Z117" s="52" t="s">
        <v>604</v>
      </c>
      <c r="AA117" s="25">
        <v>1</v>
      </c>
      <c r="AB117" s="120" t="s">
        <v>672</v>
      </c>
      <c r="AC117" s="25">
        <v>18</v>
      </c>
      <c r="AD117" s="25">
        <v>16</v>
      </c>
      <c r="AE117" s="25">
        <v>20</v>
      </c>
      <c r="AF117" s="25"/>
      <c r="AG117" s="25"/>
      <c r="AH117" s="25"/>
      <c r="AI117" s="51" t="s">
        <v>256</v>
      </c>
      <c r="AJ117" s="105"/>
      <c r="AK117" s="105"/>
      <c r="AL117" s="386"/>
      <c r="AM117" s="386"/>
      <c r="AN117" s="51" t="s">
        <v>681</v>
      </c>
      <c r="AO117" s="52" t="s">
        <v>674</v>
      </c>
      <c r="AP117" s="52" t="s">
        <v>693</v>
      </c>
      <c r="AQ117" s="52" t="s">
        <v>37</v>
      </c>
      <c r="AR117" s="53">
        <v>44055</v>
      </c>
      <c r="AS117" s="52" t="s">
        <v>37</v>
      </c>
      <c r="AT117" s="367"/>
      <c r="AU117" s="653"/>
    </row>
    <row r="118" spans="1:47" s="8" customFormat="1" ht="52.5" thickBot="1" x14ac:dyDescent="0.3">
      <c r="A118" s="1039" t="s">
        <v>566</v>
      </c>
      <c r="B118" s="628" t="s">
        <v>6804</v>
      </c>
      <c r="C118" s="379">
        <v>542</v>
      </c>
      <c r="D118" s="628" t="s">
        <v>53</v>
      </c>
      <c r="E118" s="628" t="s">
        <v>52</v>
      </c>
      <c r="F118" s="301" t="s">
        <v>668</v>
      </c>
      <c r="G118" s="301" t="s">
        <v>1972</v>
      </c>
      <c r="H118" s="301" t="s">
        <v>5038</v>
      </c>
      <c r="I118" s="624" t="s">
        <v>5039</v>
      </c>
      <c r="J118" s="482">
        <v>1194</v>
      </c>
      <c r="K118" s="380" t="s">
        <v>1533</v>
      </c>
      <c r="L118" s="907">
        <v>1649047.9656</v>
      </c>
      <c r="M118" s="907">
        <v>5340193.5815000003</v>
      </c>
      <c r="N118" s="301"/>
      <c r="O118" s="301" t="s">
        <v>1532</v>
      </c>
      <c r="P118" s="301" t="s">
        <v>5</v>
      </c>
      <c r="Q118" s="301">
        <v>3.6</v>
      </c>
      <c r="R118" s="301"/>
      <c r="S118" s="301"/>
      <c r="T118" s="300" t="s">
        <v>1531</v>
      </c>
      <c r="U118" s="314" t="s">
        <v>16</v>
      </c>
      <c r="V118" s="293" t="s">
        <v>16</v>
      </c>
      <c r="W118" s="293" t="s">
        <v>16</v>
      </c>
      <c r="X118" s="293" t="s">
        <v>5</v>
      </c>
      <c r="Y118" s="293" t="s">
        <v>1530</v>
      </c>
      <c r="Z118" s="342" t="s">
        <v>58</v>
      </c>
      <c r="AA118" s="293">
        <v>2</v>
      </c>
      <c r="AB118" s="293" t="s">
        <v>1529</v>
      </c>
      <c r="AC118" s="293"/>
      <c r="AD118" s="293"/>
      <c r="AE118" s="293"/>
      <c r="AF118" s="293"/>
      <c r="AG118" s="293"/>
      <c r="AH118" s="293"/>
      <c r="AI118" s="292" t="s">
        <v>549</v>
      </c>
      <c r="AJ118" s="307"/>
      <c r="AK118" s="293"/>
      <c r="AL118" s="293"/>
      <c r="AM118" s="293"/>
      <c r="AN118" s="292" t="s">
        <v>1528</v>
      </c>
      <c r="AO118" s="292" t="s">
        <v>1527</v>
      </c>
      <c r="AP118" s="292" t="s">
        <v>4003</v>
      </c>
      <c r="AQ118" s="292" t="s">
        <v>1380</v>
      </c>
      <c r="AR118" s="291">
        <v>44097</v>
      </c>
      <c r="AS118" s="292" t="s">
        <v>1380</v>
      </c>
      <c r="AT118" s="291">
        <v>44098</v>
      </c>
      <c r="AU118" s="290" t="s">
        <v>37</v>
      </c>
    </row>
    <row r="119" spans="1:47" ht="39" x14ac:dyDescent="0.25">
      <c r="A119" s="341" t="s">
        <v>566</v>
      </c>
      <c r="B119" s="181" t="s">
        <v>6805</v>
      </c>
      <c r="C119" s="125">
        <v>544</v>
      </c>
      <c r="D119" s="585" t="s">
        <v>53</v>
      </c>
      <c r="E119" s="585"/>
      <c r="F119" s="125" t="s">
        <v>567</v>
      </c>
      <c r="G119" s="145" t="s">
        <v>1974</v>
      </c>
      <c r="H119" s="126" t="s">
        <v>569</v>
      </c>
      <c r="I119" s="247" t="s">
        <v>5033</v>
      </c>
      <c r="J119" s="125">
        <v>101</v>
      </c>
      <c r="K119" s="355" t="s">
        <v>602</v>
      </c>
      <c r="L119" s="911">
        <v>1568230.3074</v>
      </c>
      <c r="M119" s="911">
        <v>5301243.7323000003</v>
      </c>
      <c r="N119" s="126"/>
      <c r="O119" s="126" t="s">
        <v>603</v>
      </c>
      <c r="P119" s="126" t="s">
        <v>61</v>
      </c>
      <c r="Q119" s="126"/>
      <c r="R119" s="126"/>
      <c r="S119" s="126"/>
      <c r="T119" s="344" t="s">
        <v>4697</v>
      </c>
      <c r="U119" s="101" t="s">
        <v>16</v>
      </c>
      <c r="V119" s="31" t="s">
        <v>16</v>
      </c>
      <c r="W119" s="31" t="s">
        <v>16</v>
      </c>
      <c r="X119" s="97" t="s">
        <v>61</v>
      </c>
      <c r="Y119" s="97" t="s">
        <v>763</v>
      </c>
      <c r="Z119" s="40" t="s">
        <v>604</v>
      </c>
      <c r="AA119" s="97" t="s">
        <v>419</v>
      </c>
      <c r="AB119" s="97" t="s">
        <v>410</v>
      </c>
      <c r="AC119" s="31">
        <v>13.33</v>
      </c>
      <c r="AD119" s="31">
        <v>10.86</v>
      </c>
      <c r="AE119" s="31">
        <v>15.8</v>
      </c>
      <c r="AF119" s="31"/>
      <c r="AG119" s="31"/>
      <c r="AH119" s="31"/>
      <c r="AI119" s="30" t="s">
        <v>376</v>
      </c>
      <c r="AJ119" s="130"/>
      <c r="AK119" s="130"/>
      <c r="AL119" s="372"/>
      <c r="AM119" s="372"/>
      <c r="AN119" s="30" t="s">
        <v>384</v>
      </c>
      <c r="AO119" s="30" t="s">
        <v>660</v>
      </c>
      <c r="AP119" s="40" t="s">
        <v>694</v>
      </c>
      <c r="AQ119" s="40" t="s">
        <v>37</v>
      </c>
      <c r="AR119" s="41">
        <v>44054</v>
      </c>
      <c r="AS119" s="40" t="s">
        <v>37</v>
      </c>
      <c r="AT119" s="54"/>
      <c r="AU119" s="652"/>
    </row>
    <row r="120" spans="1:47" ht="27" thickBot="1" x14ac:dyDescent="0.3">
      <c r="A120" s="339"/>
      <c r="B120" s="116"/>
      <c r="C120" s="95"/>
      <c r="D120" s="567"/>
      <c r="E120" s="567"/>
      <c r="F120" s="95"/>
      <c r="G120" s="146"/>
      <c r="H120" s="108"/>
      <c r="I120" s="122"/>
      <c r="J120" s="96">
        <v>102</v>
      </c>
      <c r="K120" s="357" t="s">
        <v>605</v>
      </c>
      <c r="L120" s="912">
        <v>1570436.8618999999</v>
      </c>
      <c r="M120" s="912">
        <v>5302435.5259999996</v>
      </c>
      <c r="N120" s="107"/>
      <c r="O120" s="107" t="s">
        <v>606</v>
      </c>
      <c r="P120" s="107" t="s">
        <v>61</v>
      </c>
      <c r="Q120" s="107"/>
      <c r="R120" s="107"/>
      <c r="S120" s="107"/>
      <c r="T120" s="127" t="s">
        <v>4698</v>
      </c>
      <c r="U120" s="104" t="s">
        <v>16</v>
      </c>
      <c r="V120" s="25" t="s">
        <v>16</v>
      </c>
      <c r="W120" s="25" t="s">
        <v>16</v>
      </c>
      <c r="X120" s="120" t="s">
        <v>61</v>
      </c>
      <c r="Y120" s="120" t="s">
        <v>764</v>
      </c>
      <c r="Z120" s="52" t="s">
        <v>604</v>
      </c>
      <c r="AA120" s="120" t="s">
        <v>440</v>
      </c>
      <c r="AB120" s="120" t="s">
        <v>609</v>
      </c>
      <c r="AC120" s="25">
        <v>3.57</v>
      </c>
      <c r="AD120" s="25">
        <v>2.37</v>
      </c>
      <c r="AE120" s="25">
        <v>4.7699999999999996</v>
      </c>
      <c r="AF120" s="25"/>
      <c r="AG120" s="25"/>
      <c r="AH120" s="25"/>
      <c r="AI120" s="51" t="s">
        <v>659</v>
      </c>
      <c r="AJ120" s="105"/>
      <c r="AK120" s="105"/>
      <c r="AL120" s="386"/>
      <c r="AM120" s="386"/>
      <c r="AN120" s="51" t="s">
        <v>384</v>
      </c>
      <c r="AO120" s="51" t="s">
        <v>661</v>
      </c>
      <c r="AP120" s="52" t="s">
        <v>694</v>
      </c>
      <c r="AQ120" s="52" t="s">
        <v>37</v>
      </c>
      <c r="AR120" s="53">
        <v>44055</v>
      </c>
      <c r="AS120" s="52" t="s">
        <v>37</v>
      </c>
      <c r="AT120" s="367"/>
      <c r="AU120" s="653"/>
    </row>
    <row r="121" spans="1:47" ht="64.5" x14ac:dyDescent="0.25">
      <c r="A121" s="339"/>
      <c r="B121" s="116"/>
      <c r="C121" s="95"/>
      <c r="D121" s="567"/>
      <c r="E121" s="567"/>
      <c r="F121" s="95"/>
      <c r="G121" s="146"/>
      <c r="H121" s="108"/>
      <c r="I121" s="122"/>
      <c r="J121" s="125">
        <v>93</v>
      </c>
      <c r="K121" s="355" t="s">
        <v>568</v>
      </c>
      <c r="L121" s="911">
        <v>1582634.4017</v>
      </c>
      <c r="M121" s="911">
        <v>5305919.7812000001</v>
      </c>
      <c r="N121" s="126"/>
      <c r="O121" s="126" t="s">
        <v>573</v>
      </c>
      <c r="P121" s="125" t="s">
        <v>5</v>
      </c>
      <c r="Q121" s="126"/>
      <c r="R121" s="126"/>
      <c r="S121" s="126"/>
      <c r="T121" s="344" t="s">
        <v>569</v>
      </c>
      <c r="U121" s="101" t="s">
        <v>10</v>
      </c>
      <c r="V121" s="31" t="s">
        <v>10</v>
      </c>
      <c r="W121" s="31" t="s">
        <v>10</v>
      </c>
      <c r="X121" s="31" t="s">
        <v>5</v>
      </c>
      <c r="Y121" s="31" t="s">
        <v>759</v>
      </c>
      <c r="Z121" s="40" t="s">
        <v>58</v>
      </c>
      <c r="AA121" s="31">
        <v>1</v>
      </c>
      <c r="AB121" s="97" t="s">
        <v>580</v>
      </c>
      <c r="AC121" s="31">
        <v>11.2</v>
      </c>
      <c r="AD121" s="31">
        <v>9.9</v>
      </c>
      <c r="AE121" s="31">
        <v>12.5</v>
      </c>
      <c r="AF121" s="31"/>
      <c r="AG121" s="31"/>
      <c r="AH121" s="31"/>
      <c r="AI121" s="30" t="s">
        <v>23</v>
      </c>
      <c r="AJ121" s="130"/>
      <c r="AK121" s="130"/>
      <c r="AL121" s="372"/>
      <c r="AM121" s="372"/>
      <c r="AN121" s="203" t="s">
        <v>585</v>
      </c>
      <c r="AO121" s="40" t="s">
        <v>520</v>
      </c>
      <c r="AP121" s="40" t="s">
        <v>584</v>
      </c>
      <c r="AQ121" s="40" t="s">
        <v>37</v>
      </c>
      <c r="AR121" s="41">
        <v>44054</v>
      </c>
      <c r="AS121" s="40" t="s">
        <v>37</v>
      </c>
      <c r="AT121" s="54"/>
      <c r="AU121" s="652"/>
    </row>
    <row r="122" spans="1:47" ht="26.25" x14ac:dyDescent="0.25">
      <c r="A122" s="339"/>
      <c r="B122" s="116"/>
      <c r="C122" s="95"/>
      <c r="D122" s="567"/>
      <c r="E122" s="567"/>
      <c r="F122" s="95"/>
      <c r="G122" s="146"/>
      <c r="H122" s="108"/>
      <c r="I122" s="122"/>
      <c r="J122" s="95">
        <v>94</v>
      </c>
      <c r="K122" s="359" t="s">
        <v>570</v>
      </c>
      <c r="L122" s="913">
        <v>1582707.1623</v>
      </c>
      <c r="M122" s="913">
        <v>5305919.7812000001</v>
      </c>
      <c r="N122" s="108"/>
      <c r="O122" s="108" t="s">
        <v>574</v>
      </c>
      <c r="P122" s="95" t="s">
        <v>5</v>
      </c>
      <c r="Q122" s="108"/>
      <c r="R122" s="108"/>
      <c r="S122" s="108"/>
      <c r="T122" s="184" t="s">
        <v>577</v>
      </c>
      <c r="U122" s="102" t="s">
        <v>10</v>
      </c>
      <c r="V122" s="24" t="s">
        <v>10</v>
      </c>
      <c r="W122" s="24" t="s">
        <v>10</v>
      </c>
      <c r="X122" s="24" t="s">
        <v>5</v>
      </c>
      <c r="Y122" s="24" t="s">
        <v>760</v>
      </c>
      <c r="Z122" s="46" t="s">
        <v>58</v>
      </c>
      <c r="AA122" s="24">
        <v>1</v>
      </c>
      <c r="AB122" s="117" t="s">
        <v>581</v>
      </c>
      <c r="AC122" s="24">
        <v>9</v>
      </c>
      <c r="AD122" s="24">
        <v>8.1</v>
      </c>
      <c r="AE122" s="24">
        <v>10</v>
      </c>
      <c r="AF122" s="24"/>
      <c r="AG122" s="24"/>
      <c r="AH122" s="24"/>
      <c r="AI122" s="45" t="s">
        <v>23</v>
      </c>
      <c r="AJ122" s="103"/>
      <c r="AK122" s="103"/>
      <c r="AL122" s="351"/>
      <c r="AM122" s="351"/>
      <c r="AN122" s="180" t="s">
        <v>583</v>
      </c>
      <c r="AO122" s="46" t="s">
        <v>520</v>
      </c>
      <c r="AP122" s="46" t="s">
        <v>584</v>
      </c>
      <c r="AQ122" s="46" t="s">
        <v>37</v>
      </c>
      <c r="AR122" s="47">
        <v>44054</v>
      </c>
      <c r="AS122" s="46" t="s">
        <v>37</v>
      </c>
      <c r="AT122" s="365"/>
      <c r="AU122" s="1107"/>
    </row>
    <row r="123" spans="1:47" ht="26.25" x14ac:dyDescent="0.25">
      <c r="A123" s="339"/>
      <c r="B123" s="116"/>
      <c r="C123" s="95"/>
      <c r="D123" s="567"/>
      <c r="E123" s="567"/>
      <c r="F123" s="95"/>
      <c r="G123" s="146"/>
      <c r="H123" s="108"/>
      <c r="I123" s="122"/>
      <c r="J123" s="95">
        <v>95</v>
      </c>
      <c r="K123" s="359" t="s">
        <v>571</v>
      </c>
      <c r="L123" s="913">
        <v>1582737.2586999999</v>
      </c>
      <c r="M123" s="913">
        <v>5305968.8119000001</v>
      </c>
      <c r="N123" s="108"/>
      <c r="O123" s="108" t="s">
        <v>576</v>
      </c>
      <c r="P123" s="95" t="s">
        <v>5</v>
      </c>
      <c r="Q123" s="108"/>
      <c r="R123" s="108"/>
      <c r="S123" s="108"/>
      <c r="T123" s="184" t="s">
        <v>578</v>
      </c>
      <c r="U123" s="102" t="s">
        <v>10</v>
      </c>
      <c r="V123" s="24" t="s">
        <v>10</v>
      </c>
      <c r="W123" s="24" t="s">
        <v>10</v>
      </c>
      <c r="X123" s="24" t="s">
        <v>5</v>
      </c>
      <c r="Y123" s="24" t="s">
        <v>761</v>
      </c>
      <c r="Z123" s="46" t="s">
        <v>58</v>
      </c>
      <c r="AA123" s="24">
        <v>1</v>
      </c>
      <c r="AB123" s="117" t="s">
        <v>575</v>
      </c>
      <c r="AC123" s="24">
        <v>8.1</v>
      </c>
      <c r="AD123" s="24">
        <v>7.4</v>
      </c>
      <c r="AE123" s="24">
        <v>8.9</v>
      </c>
      <c r="AF123" s="24"/>
      <c r="AG123" s="24"/>
      <c r="AH123" s="24"/>
      <c r="AI123" s="45" t="s">
        <v>23</v>
      </c>
      <c r="AJ123" s="103"/>
      <c r="AK123" s="103"/>
      <c r="AL123" s="351"/>
      <c r="AM123" s="351"/>
      <c r="AN123" s="180" t="s">
        <v>583</v>
      </c>
      <c r="AO123" s="46" t="s">
        <v>520</v>
      </c>
      <c r="AP123" s="46" t="s">
        <v>584</v>
      </c>
      <c r="AQ123" s="46" t="s">
        <v>37</v>
      </c>
      <c r="AR123" s="47">
        <v>44054</v>
      </c>
      <c r="AS123" s="46" t="s">
        <v>37</v>
      </c>
      <c r="AT123" s="365"/>
      <c r="AU123" s="1107"/>
    </row>
    <row r="124" spans="1:47" ht="26.25" x14ac:dyDescent="0.25">
      <c r="A124" s="339"/>
      <c r="B124" s="116"/>
      <c r="C124" s="95"/>
      <c r="D124" s="567"/>
      <c r="E124" s="567"/>
      <c r="F124" s="95"/>
      <c r="G124" s="146"/>
      <c r="H124" s="108"/>
      <c r="I124" s="122"/>
      <c r="J124" s="95">
        <v>96</v>
      </c>
      <c r="K124" s="359" t="s">
        <v>572</v>
      </c>
      <c r="L124" s="913">
        <v>1582741.5582000001</v>
      </c>
      <c r="M124" s="913">
        <v>5305969.8041000003</v>
      </c>
      <c r="N124" s="108"/>
      <c r="O124" s="108" t="s">
        <v>576</v>
      </c>
      <c r="P124" s="95" t="s">
        <v>5</v>
      </c>
      <c r="Q124" s="108"/>
      <c r="R124" s="108"/>
      <c r="S124" s="108"/>
      <c r="T124" s="184" t="s">
        <v>579</v>
      </c>
      <c r="U124" s="102" t="s">
        <v>10</v>
      </c>
      <c r="V124" s="24" t="s">
        <v>10</v>
      </c>
      <c r="W124" s="24" t="s">
        <v>10</v>
      </c>
      <c r="X124" s="24" t="s">
        <v>5</v>
      </c>
      <c r="Y124" s="24" t="s">
        <v>762</v>
      </c>
      <c r="Z124" s="46" t="s">
        <v>24</v>
      </c>
      <c r="AA124" s="24">
        <v>1</v>
      </c>
      <c r="AB124" s="117" t="s">
        <v>582</v>
      </c>
      <c r="AC124" s="24">
        <v>4.5</v>
      </c>
      <c r="AD124" s="24">
        <v>3.8</v>
      </c>
      <c r="AE124" s="24">
        <v>5.3</v>
      </c>
      <c r="AF124" s="24"/>
      <c r="AG124" s="24"/>
      <c r="AH124" s="24"/>
      <c r="AI124" s="45" t="s">
        <v>23</v>
      </c>
      <c r="AJ124" s="103"/>
      <c r="AK124" s="103"/>
      <c r="AL124" s="351"/>
      <c r="AM124" s="351"/>
      <c r="AN124" s="180" t="s">
        <v>583</v>
      </c>
      <c r="AO124" s="46" t="s">
        <v>520</v>
      </c>
      <c r="AP124" s="46" t="s">
        <v>584</v>
      </c>
      <c r="AQ124" s="46" t="s">
        <v>37</v>
      </c>
      <c r="AR124" s="47">
        <v>44054</v>
      </c>
      <c r="AS124" s="46" t="s">
        <v>37</v>
      </c>
      <c r="AT124" s="365"/>
      <c r="AU124" s="1107"/>
    </row>
    <row r="125" spans="1:47" ht="26.25" x14ac:dyDescent="0.25">
      <c r="A125" s="339"/>
      <c r="B125" s="116"/>
      <c r="C125" s="95"/>
      <c r="D125" s="567"/>
      <c r="E125" s="567"/>
      <c r="F125" s="95"/>
      <c r="G125" s="146"/>
      <c r="H125" s="108"/>
      <c r="I125" s="122"/>
      <c r="J125" s="95">
        <v>97</v>
      </c>
      <c r="K125" s="359" t="s">
        <v>586</v>
      </c>
      <c r="L125" s="913">
        <v>1582672.0408000001</v>
      </c>
      <c r="M125" s="913">
        <v>5305935.7359999996</v>
      </c>
      <c r="N125" s="108"/>
      <c r="O125" s="108" t="s">
        <v>590</v>
      </c>
      <c r="P125" s="95" t="s">
        <v>5</v>
      </c>
      <c r="Q125" s="108"/>
      <c r="R125" s="108"/>
      <c r="S125" s="108"/>
      <c r="T125" s="184" t="s">
        <v>594</v>
      </c>
      <c r="U125" s="102" t="s">
        <v>10</v>
      </c>
      <c r="V125" s="24" t="s">
        <v>10</v>
      </c>
      <c r="W125" s="24" t="s">
        <v>10</v>
      </c>
      <c r="X125" s="24" t="s">
        <v>5</v>
      </c>
      <c r="Y125" s="24"/>
      <c r="Z125" s="46" t="s">
        <v>58</v>
      </c>
      <c r="AA125" s="24">
        <v>1</v>
      </c>
      <c r="AB125" s="117" t="s">
        <v>598</v>
      </c>
      <c r="AC125" s="24">
        <v>11.2</v>
      </c>
      <c r="AD125" s="24">
        <v>9.9</v>
      </c>
      <c r="AE125" s="24">
        <v>12.5</v>
      </c>
      <c r="AF125" s="24">
        <v>9</v>
      </c>
      <c r="AG125" s="24">
        <v>8.1</v>
      </c>
      <c r="AH125" s="24">
        <v>10</v>
      </c>
      <c r="AI125" s="45" t="s">
        <v>23</v>
      </c>
      <c r="AJ125" s="103"/>
      <c r="AK125" s="103"/>
      <c r="AL125" s="351"/>
      <c r="AM125" s="351"/>
      <c r="AN125" s="180" t="s">
        <v>552</v>
      </c>
      <c r="AO125" s="46" t="s">
        <v>520</v>
      </c>
      <c r="AP125" s="46" t="s">
        <v>584</v>
      </c>
      <c r="AQ125" s="46" t="s">
        <v>37</v>
      </c>
      <c r="AR125" s="47">
        <v>44054</v>
      </c>
      <c r="AS125" s="46" t="s">
        <v>37</v>
      </c>
      <c r="AT125" s="365"/>
      <c r="AU125" s="1107"/>
    </row>
    <row r="126" spans="1:47" ht="26.25" x14ac:dyDescent="0.25">
      <c r="A126" s="339"/>
      <c r="B126" s="116"/>
      <c r="C126" s="95"/>
      <c r="D126" s="567"/>
      <c r="E126" s="567"/>
      <c r="F126" s="95"/>
      <c r="G126" s="146"/>
      <c r="H126" s="108"/>
      <c r="I126" s="122"/>
      <c r="J126" s="95">
        <v>98</v>
      </c>
      <c r="K126" s="359" t="s">
        <v>587</v>
      </c>
      <c r="L126" s="913">
        <v>1582718.7128999999</v>
      </c>
      <c r="M126" s="913">
        <v>5305959.0948999999</v>
      </c>
      <c r="N126" s="108"/>
      <c r="O126" s="108" t="s">
        <v>591</v>
      </c>
      <c r="P126" s="95" t="s">
        <v>5</v>
      </c>
      <c r="Q126" s="108"/>
      <c r="R126" s="108"/>
      <c r="S126" s="108"/>
      <c r="T126" s="184" t="s">
        <v>595</v>
      </c>
      <c r="U126" s="102" t="s">
        <v>10</v>
      </c>
      <c r="V126" s="24" t="s">
        <v>10</v>
      </c>
      <c r="W126" s="24" t="s">
        <v>10</v>
      </c>
      <c r="X126" s="24" t="s">
        <v>5</v>
      </c>
      <c r="Y126" s="24"/>
      <c r="Z126" s="46" t="s">
        <v>58</v>
      </c>
      <c r="AA126" s="24">
        <v>1</v>
      </c>
      <c r="AB126" s="117" t="s">
        <v>599</v>
      </c>
      <c r="AC126" s="24">
        <v>9</v>
      </c>
      <c r="AD126" s="24">
        <v>8.1</v>
      </c>
      <c r="AE126" s="24">
        <v>10</v>
      </c>
      <c r="AF126" s="24">
        <v>8.1</v>
      </c>
      <c r="AG126" s="24">
        <v>7.4</v>
      </c>
      <c r="AH126" s="24">
        <v>8.9</v>
      </c>
      <c r="AI126" s="45" t="s">
        <v>23</v>
      </c>
      <c r="AJ126" s="103"/>
      <c r="AK126" s="103"/>
      <c r="AL126" s="351"/>
      <c r="AM126" s="351"/>
      <c r="AN126" s="180" t="s">
        <v>552</v>
      </c>
      <c r="AO126" s="46" t="s">
        <v>520</v>
      </c>
      <c r="AP126" s="46" t="s">
        <v>584</v>
      </c>
      <c r="AQ126" s="46" t="s">
        <v>37</v>
      </c>
      <c r="AR126" s="47">
        <v>44054</v>
      </c>
      <c r="AS126" s="46" t="s">
        <v>37</v>
      </c>
      <c r="AT126" s="365"/>
      <c r="AU126" s="1107"/>
    </row>
    <row r="127" spans="1:47" ht="26.25" x14ac:dyDescent="0.25">
      <c r="A127" s="339"/>
      <c r="B127" s="116"/>
      <c r="C127" s="95"/>
      <c r="D127" s="567"/>
      <c r="E127" s="567"/>
      <c r="F127" s="95"/>
      <c r="G127" s="146"/>
      <c r="H127" s="108"/>
      <c r="I127" s="122"/>
      <c r="J127" s="95">
        <v>99</v>
      </c>
      <c r="K127" s="359" t="s">
        <v>588</v>
      </c>
      <c r="L127" s="913">
        <v>1582739.5467000001</v>
      </c>
      <c r="M127" s="913">
        <v>5305969.3688000003</v>
      </c>
      <c r="N127" s="108"/>
      <c r="O127" s="108" t="s">
        <v>592</v>
      </c>
      <c r="P127" s="95" t="s">
        <v>5</v>
      </c>
      <c r="Q127" s="108"/>
      <c r="R127" s="108"/>
      <c r="S127" s="108"/>
      <c r="T127" s="184" t="s">
        <v>596</v>
      </c>
      <c r="U127" s="102" t="s">
        <v>10</v>
      </c>
      <c r="V127" s="24" t="s">
        <v>10</v>
      </c>
      <c r="W127" s="24" t="s">
        <v>10</v>
      </c>
      <c r="X127" s="24" t="s">
        <v>5</v>
      </c>
      <c r="Y127" s="24"/>
      <c r="Z127" s="46" t="s">
        <v>58</v>
      </c>
      <c r="AA127" s="24">
        <v>1</v>
      </c>
      <c r="AB127" s="117" t="s">
        <v>600</v>
      </c>
      <c r="AC127" s="24">
        <v>8.1</v>
      </c>
      <c r="AD127" s="24">
        <v>7.4</v>
      </c>
      <c r="AE127" s="24">
        <v>8.9</v>
      </c>
      <c r="AF127" s="24">
        <v>4.5</v>
      </c>
      <c r="AG127" s="24">
        <v>3.8</v>
      </c>
      <c r="AH127" s="24">
        <v>5.3</v>
      </c>
      <c r="AI127" s="45" t="s">
        <v>23</v>
      </c>
      <c r="AJ127" s="103"/>
      <c r="AK127" s="103"/>
      <c r="AL127" s="351"/>
      <c r="AM127" s="351"/>
      <c r="AN127" s="180" t="s">
        <v>552</v>
      </c>
      <c r="AO127" s="46" t="s">
        <v>520</v>
      </c>
      <c r="AP127" s="46" t="s">
        <v>584</v>
      </c>
      <c r="AQ127" s="46" t="s">
        <v>37</v>
      </c>
      <c r="AR127" s="47">
        <v>44054</v>
      </c>
      <c r="AS127" s="46" t="s">
        <v>37</v>
      </c>
      <c r="AT127" s="365"/>
      <c r="AU127" s="1107"/>
    </row>
    <row r="128" spans="1:47" ht="27" thickBot="1" x14ac:dyDescent="0.3">
      <c r="A128" s="336"/>
      <c r="B128" s="196"/>
      <c r="C128" s="96"/>
      <c r="D128" s="566"/>
      <c r="E128" s="566"/>
      <c r="F128" s="96"/>
      <c r="G128" s="147"/>
      <c r="H128" s="107"/>
      <c r="I128" s="123"/>
      <c r="J128" s="96">
        <v>100</v>
      </c>
      <c r="K128" s="357" t="s">
        <v>589</v>
      </c>
      <c r="L128" s="912">
        <v>1582752.5196</v>
      </c>
      <c r="M128" s="912">
        <v>5305975.7660999997</v>
      </c>
      <c r="N128" s="107"/>
      <c r="O128" s="107" t="s">
        <v>593</v>
      </c>
      <c r="P128" s="96" t="s">
        <v>5</v>
      </c>
      <c r="Q128" s="107"/>
      <c r="R128" s="107"/>
      <c r="S128" s="107"/>
      <c r="T128" s="127" t="s">
        <v>597</v>
      </c>
      <c r="U128" s="104" t="s">
        <v>10</v>
      </c>
      <c r="V128" s="25" t="s">
        <v>10</v>
      </c>
      <c r="W128" s="25" t="s">
        <v>10</v>
      </c>
      <c r="X128" s="25" t="s">
        <v>5</v>
      </c>
      <c r="Y128" s="25"/>
      <c r="Z128" s="52" t="s">
        <v>24</v>
      </c>
      <c r="AA128" s="25">
        <v>1</v>
      </c>
      <c r="AB128" s="120" t="s">
        <v>601</v>
      </c>
      <c r="AC128" s="25">
        <v>4.5</v>
      </c>
      <c r="AD128" s="25">
        <v>3.8</v>
      </c>
      <c r="AE128" s="25">
        <v>5.3</v>
      </c>
      <c r="AF128" s="25">
        <v>0</v>
      </c>
      <c r="AG128" s="25">
        <v>0</v>
      </c>
      <c r="AH128" s="25">
        <v>0</v>
      </c>
      <c r="AI128" s="51" t="s">
        <v>23</v>
      </c>
      <c r="AJ128" s="105"/>
      <c r="AK128" s="105"/>
      <c r="AL128" s="386"/>
      <c r="AM128" s="386"/>
      <c r="AN128" s="183" t="s">
        <v>552</v>
      </c>
      <c r="AO128" s="52" t="s">
        <v>520</v>
      </c>
      <c r="AP128" s="52" t="s">
        <v>584</v>
      </c>
      <c r="AQ128" s="52" t="s">
        <v>37</v>
      </c>
      <c r="AR128" s="53">
        <v>44054</v>
      </c>
      <c r="AS128" s="52" t="s">
        <v>37</v>
      </c>
      <c r="AT128" s="367"/>
      <c r="AU128" s="653"/>
    </row>
    <row r="129" spans="1:47" s="325" customFormat="1" ht="39.75" thickBot="1" x14ac:dyDescent="0.3">
      <c r="A129" s="1040" t="s">
        <v>3299</v>
      </c>
      <c r="B129" s="590" t="s">
        <v>3299</v>
      </c>
      <c r="C129" s="250">
        <v>2</v>
      </c>
      <c r="D129" s="590" t="s">
        <v>57</v>
      </c>
      <c r="E129" s="590"/>
      <c r="F129" s="455" t="s">
        <v>1553</v>
      </c>
      <c r="G129" s="456" t="s">
        <v>1238</v>
      </c>
      <c r="H129" s="455" t="s">
        <v>3301</v>
      </c>
      <c r="I129" s="627" t="s">
        <v>5490</v>
      </c>
      <c r="J129" s="347">
        <v>498</v>
      </c>
      <c r="K129" s="454" t="s">
        <v>3300</v>
      </c>
      <c r="L129" s="922">
        <v>1778578.6457</v>
      </c>
      <c r="M129" s="922">
        <v>5878423.1897</v>
      </c>
      <c r="N129" s="455"/>
      <c r="O129" s="455" t="s">
        <v>3301</v>
      </c>
      <c r="P129" s="455" t="s">
        <v>193</v>
      </c>
      <c r="Q129" s="455"/>
      <c r="R129" s="455"/>
      <c r="S129" s="455"/>
      <c r="T129" s="457" t="s">
        <v>3301</v>
      </c>
      <c r="U129" s="458" t="s">
        <v>16</v>
      </c>
      <c r="V129" s="375" t="s">
        <v>16</v>
      </c>
      <c r="W129" s="375" t="s">
        <v>16</v>
      </c>
      <c r="X129" s="375" t="s">
        <v>194</v>
      </c>
      <c r="Y129" s="376" t="s">
        <v>1457</v>
      </c>
      <c r="Z129" s="390" t="s">
        <v>1908</v>
      </c>
      <c r="AA129" s="375">
        <v>1</v>
      </c>
      <c r="AB129" s="375" t="s">
        <v>3302</v>
      </c>
      <c r="AC129" s="375"/>
      <c r="AD129" s="375">
        <v>1190</v>
      </c>
      <c r="AE129" s="375">
        <v>1350</v>
      </c>
      <c r="AF129" s="375"/>
      <c r="AG129" s="375"/>
      <c r="AH129" s="375"/>
      <c r="AI129" s="374" t="s">
        <v>256</v>
      </c>
      <c r="AJ129" s="376"/>
      <c r="AK129" s="375"/>
      <c r="AL129" s="375"/>
      <c r="AM129" s="375"/>
      <c r="AN129" s="207" t="s">
        <v>3303</v>
      </c>
      <c r="AO129" s="207" t="s">
        <v>3293</v>
      </c>
      <c r="AP129" s="374" t="s">
        <v>3297</v>
      </c>
      <c r="AQ129" s="374" t="s">
        <v>37</v>
      </c>
      <c r="AR129" s="377">
        <v>44140</v>
      </c>
      <c r="AS129" s="374" t="s">
        <v>37</v>
      </c>
      <c r="AT129" s="377"/>
      <c r="AU129" s="378"/>
    </row>
    <row r="130" spans="1:47" s="325" customFormat="1" ht="52.5" thickBot="1" x14ac:dyDescent="0.3">
      <c r="A130" s="1041" t="s">
        <v>2045</v>
      </c>
      <c r="B130" s="589" t="s">
        <v>2045</v>
      </c>
      <c r="C130" s="110">
        <v>771</v>
      </c>
      <c r="D130" s="589" t="s">
        <v>52</v>
      </c>
      <c r="E130" s="589"/>
      <c r="F130" s="296" t="s">
        <v>1262</v>
      </c>
      <c r="G130" s="296" t="s">
        <v>1263</v>
      </c>
      <c r="H130" s="296" t="s">
        <v>5041</v>
      </c>
      <c r="I130" s="449" t="s">
        <v>5042</v>
      </c>
      <c r="J130" s="476">
        <v>266</v>
      </c>
      <c r="K130" s="449" t="s">
        <v>2046</v>
      </c>
      <c r="L130" s="908">
        <v>1326775.1251999999</v>
      </c>
      <c r="M130" s="908">
        <v>5007402.9288999997</v>
      </c>
      <c r="N130" s="296"/>
      <c r="O130" s="296" t="s">
        <v>5040</v>
      </c>
      <c r="P130" s="296" t="s">
        <v>194</v>
      </c>
      <c r="Q130" s="296"/>
      <c r="R130" s="296"/>
      <c r="S130" s="296"/>
      <c r="T130" s="295" t="s">
        <v>5041</v>
      </c>
      <c r="U130" s="375" t="s">
        <v>10</v>
      </c>
      <c r="V130" s="375" t="s">
        <v>10</v>
      </c>
      <c r="W130" s="375" t="s">
        <v>10</v>
      </c>
      <c r="X130" s="375" t="s">
        <v>194</v>
      </c>
      <c r="Y130" s="375" t="s">
        <v>2048</v>
      </c>
      <c r="Z130" s="390" t="s">
        <v>289</v>
      </c>
      <c r="AA130" s="375">
        <v>1</v>
      </c>
      <c r="AB130" s="375" t="s">
        <v>2049</v>
      </c>
      <c r="AC130" s="375">
        <v>55</v>
      </c>
      <c r="AD130" s="375">
        <v>35</v>
      </c>
      <c r="AE130" s="375">
        <v>55</v>
      </c>
      <c r="AF130" s="375"/>
      <c r="AG130" s="375"/>
      <c r="AH130" s="375"/>
      <c r="AI130" s="374" t="s">
        <v>23</v>
      </c>
      <c r="AJ130" s="376"/>
      <c r="AK130" s="375"/>
      <c r="AL130" s="375"/>
      <c r="AM130" s="375"/>
      <c r="AN130" s="374" t="s">
        <v>2050</v>
      </c>
      <c r="AO130" s="374" t="s">
        <v>2051</v>
      </c>
      <c r="AP130" s="374" t="s">
        <v>2052</v>
      </c>
      <c r="AQ130" s="374" t="s">
        <v>37</v>
      </c>
      <c r="AR130" s="377">
        <v>44110</v>
      </c>
      <c r="AS130" s="374" t="s">
        <v>37</v>
      </c>
      <c r="AT130" s="377"/>
      <c r="AU130" s="378"/>
    </row>
    <row r="131" spans="1:47" ht="65.25" thickBot="1" x14ac:dyDescent="0.3">
      <c r="A131" s="790" t="s">
        <v>2830</v>
      </c>
      <c r="B131" s="777" t="s">
        <v>2831</v>
      </c>
      <c r="C131" s="28">
        <v>187</v>
      </c>
      <c r="D131" s="575" t="s">
        <v>57</v>
      </c>
      <c r="E131" s="575"/>
      <c r="F131" s="28" t="s">
        <v>197</v>
      </c>
      <c r="G131" s="246" t="s">
        <v>1238</v>
      </c>
      <c r="H131" s="504" t="s">
        <v>5043</v>
      </c>
      <c r="I131" s="608" t="s">
        <v>5875</v>
      </c>
      <c r="J131" s="503">
        <v>3026</v>
      </c>
      <c r="K131" s="62" t="s">
        <v>2832</v>
      </c>
      <c r="L131" s="923">
        <v>1937585.7698059999</v>
      </c>
      <c r="M131" s="923">
        <v>5788760.6275850004</v>
      </c>
      <c r="N131" s="504"/>
      <c r="O131" s="504" t="s">
        <v>2833</v>
      </c>
      <c r="P131" s="220" t="s">
        <v>2047</v>
      </c>
      <c r="Q131" s="504"/>
      <c r="R131" s="504"/>
      <c r="S131" s="504"/>
      <c r="T131" s="725" t="s">
        <v>5043</v>
      </c>
      <c r="U131" s="85" t="s">
        <v>16</v>
      </c>
      <c r="V131" s="86" t="s">
        <v>10</v>
      </c>
      <c r="W131" s="86" t="s">
        <v>16</v>
      </c>
      <c r="X131" s="86" t="s">
        <v>193</v>
      </c>
      <c r="Y131" s="197" t="s">
        <v>2834</v>
      </c>
      <c r="Z131" s="92" t="s">
        <v>2727</v>
      </c>
      <c r="AA131" s="86">
        <v>1</v>
      </c>
      <c r="AB131" s="86" t="s">
        <v>2835</v>
      </c>
      <c r="AC131" s="86">
        <v>0.9</v>
      </c>
      <c r="AD131" s="86">
        <v>0</v>
      </c>
      <c r="AE131" s="86">
        <v>1.8</v>
      </c>
      <c r="AF131" s="86"/>
      <c r="AG131" s="387"/>
      <c r="AH131" s="387"/>
      <c r="AI131" s="94" t="s">
        <v>2722</v>
      </c>
      <c r="AJ131" s="106"/>
      <c r="AK131" s="86"/>
      <c r="AL131" s="387"/>
      <c r="AM131" s="387"/>
      <c r="AN131" s="342" t="s">
        <v>2836</v>
      </c>
      <c r="AO131" s="94" t="s">
        <v>2837</v>
      </c>
      <c r="AP131" s="92" t="s">
        <v>2838</v>
      </c>
      <c r="AQ131" s="92" t="s">
        <v>2715</v>
      </c>
      <c r="AR131" s="93">
        <v>44067</v>
      </c>
      <c r="AS131" s="92" t="s">
        <v>2715</v>
      </c>
      <c r="AT131" s="93">
        <v>44111</v>
      </c>
      <c r="AU131" s="1108" t="s">
        <v>37</v>
      </c>
    </row>
    <row r="132" spans="1:47" s="551" customFormat="1" ht="39" x14ac:dyDescent="0.25">
      <c r="A132" s="341" t="s">
        <v>2830</v>
      </c>
      <c r="B132" s="181" t="s">
        <v>5954</v>
      </c>
      <c r="C132" s="125">
        <v>185</v>
      </c>
      <c r="D132" s="585" t="s">
        <v>57</v>
      </c>
      <c r="E132" s="585"/>
      <c r="F132" s="125" t="s">
        <v>4679</v>
      </c>
      <c r="G132" s="371" t="s">
        <v>1238</v>
      </c>
      <c r="H132" s="126" t="s">
        <v>5955</v>
      </c>
      <c r="I132" s="247" t="s">
        <v>5945</v>
      </c>
      <c r="J132" s="189">
        <v>944</v>
      </c>
      <c r="K132" s="355" t="s">
        <v>6044</v>
      </c>
      <c r="L132" s="911">
        <v>1944186.6882</v>
      </c>
      <c r="M132" s="911">
        <v>5792004.8860999998</v>
      </c>
      <c r="N132" s="126"/>
      <c r="O132" s="126" t="s">
        <v>6047</v>
      </c>
      <c r="P132" s="125" t="s">
        <v>193</v>
      </c>
      <c r="Q132" s="126"/>
      <c r="R132" s="126"/>
      <c r="S132" s="126"/>
      <c r="T132" s="126" t="s">
        <v>6047</v>
      </c>
      <c r="U132" s="169" t="s">
        <v>10</v>
      </c>
      <c r="V132" s="151" t="s">
        <v>16</v>
      </c>
      <c r="W132" s="151" t="s">
        <v>16</v>
      </c>
      <c r="X132" s="151" t="s">
        <v>194</v>
      </c>
      <c r="Y132" s="151" t="s">
        <v>6080</v>
      </c>
      <c r="Z132" s="152" t="s">
        <v>6115</v>
      </c>
      <c r="AA132" s="151">
        <v>1</v>
      </c>
      <c r="AB132" s="153" t="s">
        <v>6083</v>
      </c>
      <c r="AC132" s="151">
        <v>0.63800000000000001</v>
      </c>
      <c r="AD132" s="151">
        <v>0.624</v>
      </c>
      <c r="AE132" s="151">
        <v>0.64800000000000002</v>
      </c>
      <c r="AF132" s="151"/>
      <c r="AG132" s="442"/>
      <c r="AH132" s="442"/>
      <c r="AI132" s="203" t="s">
        <v>256</v>
      </c>
      <c r="AJ132" s="202"/>
      <c r="AK132" s="202"/>
      <c r="AL132" s="442"/>
      <c r="AM132" s="442"/>
      <c r="AN132" s="203" t="s">
        <v>6084</v>
      </c>
      <c r="AO132" s="152" t="s">
        <v>6114</v>
      </c>
      <c r="AP132" s="152" t="s">
        <v>5969</v>
      </c>
      <c r="AQ132" s="152" t="s">
        <v>37</v>
      </c>
      <c r="AR132" s="170">
        <v>44314</v>
      </c>
      <c r="AS132" s="152"/>
      <c r="AT132" s="361"/>
      <c r="AU132" s="1112"/>
    </row>
    <row r="133" spans="1:47" s="551" customFormat="1" ht="39" x14ac:dyDescent="0.25">
      <c r="A133" s="339"/>
      <c r="B133" s="116"/>
      <c r="C133" s="95"/>
      <c r="D133" s="567"/>
      <c r="E133" s="567"/>
      <c r="F133" s="95"/>
      <c r="G133" s="562"/>
      <c r="H133" s="108"/>
      <c r="I133" s="122"/>
      <c r="J133" s="191">
        <v>945</v>
      </c>
      <c r="K133" s="359" t="s">
        <v>6045</v>
      </c>
      <c r="L133" s="913">
        <v>1942893.6333000001</v>
      </c>
      <c r="M133" s="913">
        <v>5791837.2746000001</v>
      </c>
      <c r="N133" s="108"/>
      <c r="O133" s="108" t="s">
        <v>6048</v>
      </c>
      <c r="P133" s="95" t="s">
        <v>193</v>
      </c>
      <c r="Q133" s="108"/>
      <c r="R133" s="108"/>
      <c r="S133" s="108"/>
      <c r="T133" s="108" t="s">
        <v>6048</v>
      </c>
      <c r="U133" s="138" t="s">
        <v>10</v>
      </c>
      <c r="V133" s="136" t="s">
        <v>16</v>
      </c>
      <c r="W133" s="136" t="s">
        <v>16</v>
      </c>
      <c r="X133" s="136" t="s">
        <v>194</v>
      </c>
      <c r="Y133" s="136" t="s">
        <v>2126</v>
      </c>
      <c r="Z133" s="137" t="s">
        <v>6115</v>
      </c>
      <c r="AA133" s="136">
        <v>1</v>
      </c>
      <c r="AB133" s="132" t="s">
        <v>6082</v>
      </c>
      <c r="AC133" s="136">
        <v>1.6970000000000001</v>
      </c>
      <c r="AD133" s="136">
        <v>0.624</v>
      </c>
      <c r="AE133" s="136">
        <v>2.77</v>
      </c>
      <c r="AF133" s="136"/>
      <c r="AG133" s="350"/>
      <c r="AH133" s="350"/>
      <c r="AI133" s="180" t="s">
        <v>256</v>
      </c>
      <c r="AJ133" s="173"/>
      <c r="AK133" s="173"/>
      <c r="AL133" s="350"/>
      <c r="AM133" s="350"/>
      <c r="AN133" s="180" t="s">
        <v>6084</v>
      </c>
      <c r="AO133" s="137" t="s">
        <v>6114</v>
      </c>
      <c r="AP133" s="137" t="s">
        <v>5969</v>
      </c>
      <c r="AQ133" s="137" t="s">
        <v>37</v>
      </c>
      <c r="AR133" s="139">
        <v>44314</v>
      </c>
      <c r="AS133" s="137"/>
      <c r="AT133" s="358"/>
      <c r="AU133" s="1110"/>
    </row>
    <row r="134" spans="1:47" s="551" customFormat="1" ht="39.75" thickBot="1" x14ac:dyDescent="0.3">
      <c r="A134" s="336"/>
      <c r="B134" s="196"/>
      <c r="C134" s="96"/>
      <c r="D134" s="566"/>
      <c r="E134" s="566"/>
      <c r="F134" s="96"/>
      <c r="G134" s="319"/>
      <c r="H134" s="107"/>
      <c r="I134" s="123"/>
      <c r="J134" s="190">
        <v>946</v>
      </c>
      <c r="K134" s="357" t="s">
        <v>6046</v>
      </c>
      <c r="L134" s="912">
        <v>1945289.5733</v>
      </c>
      <c r="M134" s="912">
        <v>5792329.4424999999</v>
      </c>
      <c r="N134" s="107"/>
      <c r="O134" s="107" t="s">
        <v>6049</v>
      </c>
      <c r="P134" s="96" t="s">
        <v>193</v>
      </c>
      <c r="Q134" s="107"/>
      <c r="R134" s="107"/>
      <c r="S134" s="107"/>
      <c r="T134" s="107" t="s">
        <v>6049</v>
      </c>
      <c r="U134" s="171" t="s">
        <v>10</v>
      </c>
      <c r="V134" s="154" t="s">
        <v>16</v>
      </c>
      <c r="W134" s="154" t="s">
        <v>16</v>
      </c>
      <c r="X134" s="154" t="s">
        <v>194</v>
      </c>
      <c r="Y134" s="154" t="s">
        <v>6081</v>
      </c>
      <c r="Z134" s="137" t="s">
        <v>6115</v>
      </c>
      <c r="AA134" s="154">
        <v>1</v>
      </c>
      <c r="AB134" s="156" t="s">
        <v>6083</v>
      </c>
      <c r="AC134" s="154">
        <v>0.63800000000000001</v>
      </c>
      <c r="AD134" s="154">
        <v>0.624</v>
      </c>
      <c r="AE134" s="154">
        <v>0.64800000000000002</v>
      </c>
      <c r="AF134" s="154"/>
      <c r="AG134" s="443"/>
      <c r="AH134" s="443"/>
      <c r="AI134" s="183" t="s">
        <v>256</v>
      </c>
      <c r="AJ134" s="201"/>
      <c r="AK134" s="201"/>
      <c r="AL134" s="443"/>
      <c r="AM134" s="443"/>
      <c r="AN134" s="183" t="s">
        <v>6084</v>
      </c>
      <c r="AO134" s="155" t="s">
        <v>6114</v>
      </c>
      <c r="AP134" s="155" t="s">
        <v>5969</v>
      </c>
      <c r="AQ134" s="155" t="s">
        <v>37</v>
      </c>
      <c r="AR134" s="172">
        <v>44314</v>
      </c>
      <c r="AS134" s="155"/>
      <c r="AT134" s="362"/>
      <c r="AU134" s="1111"/>
    </row>
    <row r="135" spans="1:47" ht="77.25" x14ac:dyDescent="0.25">
      <c r="A135" s="487" t="s">
        <v>667</v>
      </c>
      <c r="B135" s="128" t="s">
        <v>667</v>
      </c>
      <c r="C135" s="72">
        <v>584</v>
      </c>
      <c r="D135" s="586" t="s">
        <v>53</v>
      </c>
      <c r="E135" s="586" t="s">
        <v>52</v>
      </c>
      <c r="F135" s="72" t="s">
        <v>668</v>
      </c>
      <c r="G135" s="140" t="s">
        <v>1972</v>
      </c>
      <c r="H135" s="129" t="s">
        <v>5036</v>
      </c>
      <c r="I135" s="381" t="s">
        <v>5037</v>
      </c>
      <c r="J135" s="187">
        <v>105</v>
      </c>
      <c r="K135" s="73" t="s">
        <v>669</v>
      </c>
      <c r="L135" s="914">
        <v>1594307.5584</v>
      </c>
      <c r="M135" s="914">
        <v>5305721.3255000003</v>
      </c>
      <c r="N135" s="129"/>
      <c r="O135" s="129" t="s">
        <v>670</v>
      </c>
      <c r="P135" s="129" t="s">
        <v>5</v>
      </c>
      <c r="Q135" s="129"/>
      <c r="R135" s="129"/>
      <c r="S135" s="129" t="s">
        <v>671</v>
      </c>
      <c r="T135" s="266" t="s">
        <v>671</v>
      </c>
      <c r="U135" s="101" t="s">
        <v>85</v>
      </c>
      <c r="V135" s="31" t="s">
        <v>16</v>
      </c>
      <c r="W135" s="31" t="s">
        <v>85</v>
      </c>
      <c r="X135" s="97" t="s">
        <v>5</v>
      </c>
      <c r="Y135" s="31">
        <v>12</v>
      </c>
      <c r="Z135" s="40" t="s">
        <v>58</v>
      </c>
      <c r="AA135" s="97">
        <v>1</v>
      </c>
      <c r="AB135" s="97" t="s">
        <v>672</v>
      </c>
      <c r="AC135" s="31">
        <v>18</v>
      </c>
      <c r="AD135" s="31">
        <v>16</v>
      </c>
      <c r="AE135" s="31">
        <v>20</v>
      </c>
      <c r="AF135" s="31"/>
      <c r="AG135" s="31"/>
      <c r="AH135" s="31"/>
      <c r="AI135" s="30" t="s">
        <v>256</v>
      </c>
      <c r="AJ135" s="130"/>
      <c r="AK135" s="130"/>
      <c r="AL135" s="372"/>
      <c r="AM135" s="372"/>
      <c r="AN135" s="30" t="s">
        <v>673</v>
      </c>
      <c r="AO135" s="40" t="s">
        <v>674</v>
      </c>
      <c r="AP135" s="40" t="s">
        <v>693</v>
      </c>
      <c r="AQ135" s="40" t="s">
        <v>37</v>
      </c>
      <c r="AR135" s="41">
        <v>44055</v>
      </c>
      <c r="AS135" s="40" t="s">
        <v>37</v>
      </c>
      <c r="AT135" s="54"/>
      <c r="AU135" s="652"/>
    </row>
    <row r="136" spans="1:47" ht="52.5" thickBot="1" x14ac:dyDescent="0.3">
      <c r="A136" s="488"/>
      <c r="B136" s="131"/>
      <c r="C136" s="75"/>
      <c r="D136" s="568"/>
      <c r="E136" s="568"/>
      <c r="F136" s="75"/>
      <c r="G136" s="143"/>
      <c r="H136" s="118"/>
      <c r="I136" s="131"/>
      <c r="J136" s="188">
        <v>106</v>
      </c>
      <c r="K136" s="76" t="s">
        <v>675</v>
      </c>
      <c r="L136" s="915">
        <v>1616513.9937</v>
      </c>
      <c r="M136" s="915">
        <v>5314297.5714999996</v>
      </c>
      <c r="N136" s="118"/>
      <c r="O136" s="118" t="s">
        <v>676</v>
      </c>
      <c r="P136" s="118" t="s">
        <v>5</v>
      </c>
      <c r="Q136" s="118"/>
      <c r="R136" s="118"/>
      <c r="S136" s="118" t="s">
        <v>677</v>
      </c>
      <c r="T136" s="601" t="s">
        <v>677</v>
      </c>
      <c r="U136" s="104" t="s">
        <v>85</v>
      </c>
      <c r="V136" s="25" t="s">
        <v>16</v>
      </c>
      <c r="W136" s="25" t="s">
        <v>85</v>
      </c>
      <c r="X136" s="120" t="s">
        <v>5</v>
      </c>
      <c r="Y136" s="25">
        <v>9.4</v>
      </c>
      <c r="Z136" s="52" t="s">
        <v>58</v>
      </c>
      <c r="AA136" s="120">
        <v>1</v>
      </c>
      <c r="AB136" s="120" t="s">
        <v>672</v>
      </c>
      <c r="AC136" s="25">
        <v>18</v>
      </c>
      <c r="AD136" s="25">
        <v>16</v>
      </c>
      <c r="AE136" s="25">
        <v>20</v>
      </c>
      <c r="AF136" s="25"/>
      <c r="AG136" s="25"/>
      <c r="AH136" s="25"/>
      <c r="AI136" s="51" t="s">
        <v>256</v>
      </c>
      <c r="AJ136" s="105"/>
      <c r="AK136" s="105"/>
      <c r="AL136" s="386"/>
      <c r="AM136" s="386"/>
      <c r="AN136" s="51" t="s">
        <v>673</v>
      </c>
      <c r="AO136" s="52" t="s">
        <v>674</v>
      </c>
      <c r="AP136" s="52" t="s">
        <v>693</v>
      </c>
      <c r="AQ136" s="52" t="s">
        <v>37</v>
      </c>
      <c r="AR136" s="53">
        <v>44055</v>
      </c>
      <c r="AS136" s="52" t="s">
        <v>37</v>
      </c>
      <c r="AT136" s="367"/>
      <c r="AU136" s="653"/>
    </row>
    <row r="137" spans="1:47" ht="65.25" thickBot="1" x14ac:dyDescent="0.3">
      <c r="A137" s="489"/>
      <c r="B137" s="133"/>
      <c r="C137" s="78"/>
      <c r="D137" s="569"/>
      <c r="E137" s="569"/>
      <c r="F137" s="78"/>
      <c r="G137" s="144"/>
      <c r="H137" s="119"/>
      <c r="I137" s="133"/>
      <c r="J137" s="192">
        <v>128</v>
      </c>
      <c r="K137" s="79" t="s">
        <v>751</v>
      </c>
      <c r="L137" s="916">
        <v>1595695.6632000001</v>
      </c>
      <c r="M137" s="916">
        <v>5305979.7883000001</v>
      </c>
      <c r="N137" s="119"/>
      <c r="O137" s="119" t="s">
        <v>752</v>
      </c>
      <c r="P137" s="119" t="s">
        <v>5</v>
      </c>
      <c r="Q137" s="119"/>
      <c r="R137" s="119"/>
      <c r="S137" s="119"/>
      <c r="T137" s="1082" t="s">
        <v>6351</v>
      </c>
      <c r="U137" s="25" t="s">
        <v>85</v>
      </c>
      <c r="V137" s="25" t="s">
        <v>85</v>
      </c>
      <c r="W137" s="25" t="s">
        <v>85</v>
      </c>
      <c r="X137" s="120" t="s">
        <v>5</v>
      </c>
      <c r="Y137" s="25" t="s">
        <v>758</v>
      </c>
      <c r="Z137" s="52" t="s">
        <v>753</v>
      </c>
      <c r="AA137" s="120">
        <v>1</v>
      </c>
      <c r="AB137" s="120">
        <v>1.8</v>
      </c>
      <c r="AC137" s="25">
        <v>1.8</v>
      </c>
      <c r="AD137" s="25">
        <v>1.5</v>
      </c>
      <c r="AE137" s="25">
        <v>2.5</v>
      </c>
      <c r="AF137" s="25"/>
      <c r="AG137" s="25"/>
      <c r="AH137" s="25"/>
      <c r="AI137" s="51" t="s">
        <v>256</v>
      </c>
      <c r="AJ137" s="105"/>
      <c r="AK137" s="105"/>
      <c r="AL137" s="386"/>
      <c r="AM137" s="386"/>
      <c r="AN137" s="51" t="s">
        <v>769</v>
      </c>
      <c r="AO137" s="52" t="s">
        <v>754</v>
      </c>
      <c r="AP137" s="52" t="s">
        <v>7544</v>
      </c>
      <c r="AQ137" s="52" t="s">
        <v>37</v>
      </c>
      <c r="AR137" s="53">
        <v>44063</v>
      </c>
      <c r="AS137" s="52" t="s">
        <v>37</v>
      </c>
      <c r="AT137" s="367"/>
      <c r="AU137" s="653"/>
    </row>
    <row r="138" spans="1:47" s="135" customFormat="1" ht="52.5" thickBot="1" x14ac:dyDescent="0.3">
      <c r="A138" s="334" t="s">
        <v>2113</v>
      </c>
      <c r="B138" s="333" t="s">
        <v>5044</v>
      </c>
      <c r="C138" s="84">
        <v>666</v>
      </c>
      <c r="D138" s="591" t="s">
        <v>52</v>
      </c>
      <c r="E138" s="591" t="s">
        <v>53</v>
      </c>
      <c r="F138" s="84" t="s">
        <v>1131</v>
      </c>
      <c r="G138" s="149" t="s">
        <v>1973</v>
      </c>
      <c r="H138" s="109" t="s">
        <v>5292</v>
      </c>
      <c r="I138" s="124" t="s">
        <v>5293</v>
      </c>
      <c r="J138" s="89">
        <v>290</v>
      </c>
      <c r="K138" s="396" t="s">
        <v>2125</v>
      </c>
      <c r="L138" s="265">
        <v>1548780.497</v>
      </c>
      <c r="M138" s="265">
        <v>5252177.4974999996</v>
      </c>
      <c r="N138" s="109"/>
      <c r="O138" s="109" t="s">
        <v>2126</v>
      </c>
      <c r="P138" s="109" t="s">
        <v>5</v>
      </c>
      <c r="Q138" s="109"/>
      <c r="R138" s="109"/>
      <c r="S138" s="109"/>
      <c r="T138" s="1083" t="s">
        <v>2129</v>
      </c>
      <c r="U138" s="206" t="s">
        <v>10</v>
      </c>
      <c r="V138" s="204" t="s">
        <v>85</v>
      </c>
      <c r="W138" s="204" t="s">
        <v>16</v>
      </c>
      <c r="X138" s="176" t="s">
        <v>5</v>
      </c>
      <c r="Y138" s="204" t="s">
        <v>2127</v>
      </c>
      <c r="Z138" s="208" t="s">
        <v>2128</v>
      </c>
      <c r="AA138" s="176">
        <v>2</v>
      </c>
      <c r="AB138" s="176" t="s">
        <v>2115</v>
      </c>
      <c r="AC138" s="204">
        <v>30.5</v>
      </c>
      <c r="AD138" s="204">
        <f>30.5-2.25</f>
        <v>28.25</v>
      </c>
      <c r="AE138" s="204">
        <f>30.5+2.2</f>
        <v>32.700000000000003</v>
      </c>
      <c r="AF138" s="204"/>
      <c r="AG138" s="204"/>
      <c r="AH138" s="204"/>
      <c r="AI138" s="207" t="s">
        <v>256</v>
      </c>
      <c r="AJ138" s="205"/>
      <c r="AK138" s="205"/>
      <c r="AL138" s="353"/>
      <c r="AM138" s="353"/>
      <c r="AN138" s="207" t="s">
        <v>2130</v>
      </c>
      <c r="AO138" s="208" t="s">
        <v>2131</v>
      </c>
      <c r="AP138" s="208" t="s">
        <v>2116</v>
      </c>
      <c r="AQ138" s="208" t="s">
        <v>37</v>
      </c>
      <c r="AR138" s="209">
        <v>44113</v>
      </c>
      <c r="AS138" s="208" t="s">
        <v>37</v>
      </c>
      <c r="AT138" s="364"/>
      <c r="AU138" s="1109"/>
    </row>
    <row r="139" spans="1:47" s="135" customFormat="1" ht="77.25" x14ac:dyDescent="0.25">
      <c r="A139" s="807" t="s">
        <v>2113</v>
      </c>
      <c r="B139" s="349" t="s">
        <v>5045</v>
      </c>
      <c r="C139" s="157">
        <v>670</v>
      </c>
      <c r="D139" s="349" t="s">
        <v>6844</v>
      </c>
      <c r="E139" s="592"/>
      <c r="F139" s="157" t="s">
        <v>1262</v>
      </c>
      <c r="G139" s="158" t="s">
        <v>4986</v>
      </c>
      <c r="H139" s="159" t="s">
        <v>5046</v>
      </c>
      <c r="I139" s="450" t="s">
        <v>5304</v>
      </c>
      <c r="J139" s="193">
        <v>288</v>
      </c>
      <c r="K139" s="433" t="s">
        <v>2120</v>
      </c>
      <c r="L139" s="924">
        <v>1546132.5432</v>
      </c>
      <c r="M139" s="924">
        <v>5248523.4050000003</v>
      </c>
      <c r="N139" s="159"/>
      <c r="O139" s="159" t="s">
        <v>2117</v>
      </c>
      <c r="P139" s="159" t="s">
        <v>194</v>
      </c>
      <c r="Q139" s="1084"/>
      <c r="R139" s="1084"/>
      <c r="S139" s="1084"/>
      <c r="T139" s="1085" t="s">
        <v>1562</v>
      </c>
      <c r="U139" s="169" t="s">
        <v>16</v>
      </c>
      <c r="V139" s="151" t="s">
        <v>16</v>
      </c>
      <c r="W139" s="151" t="s">
        <v>16</v>
      </c>
      <c r="X139" s="153" t="s">
        <v>194</v>
      </c>
      <c r="Y139" s="153" t="s">
        <v>2114</v>
      </c>
      <c r="Z139" s="152" t="s">
        <v>604</v>
      </c>
      <c r="AA139" s="153">
        <v>1</v>
      </c>
      <c r="AB139" s="153" t="s">
        <v>2115</v>
      </c>
      <c r="AC139" s="151">
        <v>30.5</v>
      </c>
      <c r="AD139" s="151">
        <v>32.5</v>
      </c>
      <c r="AE139" s="151">
        <v>28.5</v>
      </c>
      <c r="AF139" s="151"/>
      <c r="AG139" s="151"/>
      <c r="AH139" s="151"/>
      <c r="AI139" s="203" t="s">
        <v>23</v>
      </c>
      <c r="AJ139" s="202"/>
      <c r="AK139" s="202"/>
      <c r="AL139" s="442"/>
      <c r="AM139" s="442"/>
      <c r="AN139" s="203" t="s">
        <v>2118</v>
      </c>
      <c r="AO139" s="152" t="s">
        <v>2119</v>
      </c>
      <c r="AP139" s="152" t="s">
        <v>2116</v>
      </c>
      <c r="AQ139" s="152" t="s">
        <v>37</v>
      </c>
      <c r="AR139" s="170">
        <v>44112</v>
      </c>
      <c r="AS139" s="152" t="s">
        <v>37</v>
      </c>
      <c r="AT139" s="361"/>
      <c r="AU139" s="1112"/>
    </row>
    <row r="140" spans="1:47" s="135" customFormat="1" ht="39.75" thickBot="1" x14ac:dyDescent="0.3">
      <c r="A140" s="809"/>
      <c r="B140" s="174"/>
      <c r="C140" s="165"/>
      <c r="D140" s="574"/>
      <c r="E140" s="574"/>
      <c r="F140" s="165"/>
      <c r="G140" s="166"/>
      <c r="H140" s="167"/>
      <c r="I140" s="424"/>
      <c r="J140" s="195">
        <v>289</v>
      </c>
      <c r="K140" s="435" t="s">
        <v>2123</v>
      </c>
      <c r="L140" s="925">
        <v>1546000.1719</v>
      </c>
      <c r="M140" s="925">
        <v>5247986.5643999996</v>
      </c>
      <c r="N140" s="167"/>
      <c r="O140" s="167" t="s">
        <v>2122</v>
      </c>
      <c r="P140" s="167" t="s">
        <v>194</v>
      </c>
      <c r="Q140" s="1016"/>
      <c r="R140" s="1016"/>
      <c r="S140" s="1016"/>
      <c r="T140" s="1086" t="s">
        <v>1507</v>
      </c>
      <c r="U140" s="171" t="s">
        <v>16</v>
      </c>
      <c r="V140" s="154" t="s">
        <v>16</v>
      </c>
      <c r="W140" s="154" t="s">
        <v>16</v>
      </c>
      <c r="X140" s="156" t="s">
        <v>194</v>
      </c>
      <c r="Y140" s="154" t="s">
        <v>2121</v>
      </c>
      <c r="Z140" s="155" t="s">
        <v>604</v>
      </c>
      <c r="AA140" s="156">
        <v>1</v>
      </c>
      <c r="AB140" s="156" t="s">
        <v>2133</v>
      </c>
      <c r="AC140" s="154">
        <v>56</v>
      </c>
      <c r="AD140" s="154">
        <f>56-4.4</f>
        <v>51.6</v>
      </c>
      <c r="AE140" s="154">
        <f>56+4.4</f>
        <v>60.4</v>
      </c>
      <c r="AF140" s="154"/>
      <c r="AG140" s="154"/>
      <c r="AH140" s="154"/>
      <c r="AI140" s="183" t="s">
        <v>23</v>
      </c>
      <c r="AJ140" s="201"/>
      <c r="AK140" s="201"/>
      <c r="AL140" s="443"/>
      <c r="AM140" s="443"/>
      <c r="AN140" s="183" t="s">
        <v>2124</v>
      </c>
      <c r="AO140" s="155" t="s">
        <v>2132</v>
      </c>
      <c r="AP140" s="155" t="s">
        <v>2116</v>
      </c>
      <c r="AQ140" s="155" t="s">
        <v>37</v>
      </c>
      <c r="AR140" s="172">
        <v>44112</v>
      </c>
      <c r="AS140" s="155" t="s">
        <v>37</v>
      </c>
      <c r="AT140" s="362"/>
      <c r="AU140" s="1111"/>
    </row>
    <row r="141" spans="1:47" s="135" customFormat="1" ht="52.5" thickBot="1" x14ac:dyDescent="0.3">
      <c r="A141" s="334" t="s">
        <v>2082</v>
      </c>
      <c r="B141" s="333" t="s">
        <v>2082</v>
      </c>
      <c r="C141" s="84">
        <v>714</v>
      </c>
      <c r="D141" s="591" t="s">
        <v>408</v>
      </c>
      <c r="E141" s="591" t="s">
        <v>52</v>
      </c>
      <c r="F141" s="84" t="s">
        <v>2083</v>
      </c>
      <c r="G141" s="149" t="s">
        <v>6840</v>
      </c>
      <c r="H141" s="109" t="s">
        <v>2087</v>
      </c>
      <c r="I141" s="124" t="s">
        <v>5047</v>
      </c>
      <c r="J141" s="89">
        <v>284</v>
      </c>
      <c r="K141" s="396" t="s">
        <v>2085</v>
      </c>
      <c r="L141" s="265">
        <v>1385550.6062</v>
      </c>
      <c r="M141" s="265">
        <v>5053496.3904999997</v>
      </c>
      <c r="N141" s="109"/>
      <c r="O141" s="109" t="s">
        <v>1459</v>
      </c>
      <c r="P141" s="109" t="s">
        <v>2086</v>
      </c>
      <c r="Q141" s="109"/>
      <c r="R141" s="109"/>
      <c r="S141" s="109"/>
      <c r="T141" s="1083" t="s">
        <v>2087</v>
      </c>
      <c r="U141" s="206" t="s">
        <v>16</v>
      </c>
      <c r="V141" s="204" t="s">
        <v>16</v>
      </c>
      <c r="W141" s="204" t="s">
        <v>16</v>
      </c>
      <c r="X141" s="176" t="s">
        <v>2090</v>
      </c>
      <c r="Y141" s="176" t="s">
        <v>2091</v>
      </c>
      <c r="Z141" s="208" t="s">
        <v>289</v>
      </c>
      <c r="AA141" s="176">
        <v>1</v>
      </c>
      <c r="AB141" s="176" t="s">
        <v>2088</v>
      </c>
      <c r="AC141" s="204"/>
      <c r="AD141" s="204">
        <v>13.2</v>
      </c>
      <c r="AE141" s="204">
        <v>16</v>
      </c>
      <c r="AF141" s="204"/>
      <c r="AG141" s="204"/>
      <c r="AH141" s="204"/>
      <c r="AI141" s="207" t="s">
        <v>23</v>
      </c>
      <c r="AJ141" s="205"/>
      <c r="AK141" s="205"/>
      <c r="AL141" s="353"/>
      <c r="AM141" s="353"/>
      <c r="AN141" s="207" t="s">
        <v>2092</v>
      </c>
      <c r="AO141" s="207" t="s">
        <v>2089</v>
      </c>
      <c r="AP141" s="208" t="s">
        <v>2061</v>
      </c>
      <c r="AQ141" s="208" t="s">
        <v>37</v>
      </c>
      <c r="AR141" s="209">
        <v>44111</v>
      </c>
      <c r="AS141" s="208" t="s">
        <v>37</v>
      </c>
      <c r="AT141" s="364"/>
      <c r="AU141" s="1109"/>
    </row>
    <row r="142" spans="1:47" ht="115.5" x14ac:dyDescent="0.25">
      <c r="A142" s="487" t="s">
        <v>2877</v>
      </c>
      <c r="B142" s="128" t="s">
        <v>2877</v>
      </c>
      <c r="C142" s="72">
        <v>689</v>
      </c>
      <c r="D142" s="586" t="s">
        <v>52</v>
      </c>
      <c r="E142" s="586" t="s">
        <v>53</v>
      </c>
      <c r="F142" s="72" t="s">
        <v>6841</v>
      </c>
      <c r="G142" s="72" t="s">
        <v>1973</v>
      </c>
      <c r="H142" s="129" t="s">
        <v>5048</v>
      </c>
      <c r="I142" s="381" t="s">
        <v>5305</v>
      </c>
      <c r="J142" s="187">
        <v>3034</v>
      </c>
      <c r="K142" s="73" t="s">
        <v>2879</v>
      </c>
      <c r="L142" s="914">
        <v>1415713.2037</v>
      </c>
      <c r="M142" s="914">
        <v>5123448.4380000001</v>
      </c>
      <c r="N142" s="129"/>
      <c r="O142" s="129" t="s">
        <v>2880</v>
      </c>
      <c r="P142" s="64" t="s">
        <v>2047</v>
      </c>
      <c r="Q142" s="129"/>
      <c r="R142" s="129"/>
      <c r="S142" s="129"/>
      <c r="T142" s="266" t="s">
        <v>2880</v>
      </c>
      <c r="U142" s="101" t="s">
        <v>10</v>
      </c>
      <c r="V142" s="31" t="s">
        <v>16</v>
      </c>
      <c r="W142" s="31" t="s">
        <v>16</v>
      </c>
      <c r="X142" s="31" t="s">
        <v>345</v>
      </c>
      <c r="Y142" s="382" t="s">
        <v>2881</v>
      </c>
      <c r="Z142" s="389" t="s">
        <v>2882</v>
      </c>
      <c r="AA142" s="31">
        <v>4</v>
      </c>
      <c r="AB142" s="31" t="s">
        <v>2883</v>
      </c>
      <c r="AC142" s="31">
        <v>24.8</v>
      </c>
      <c r="AD142" s="31">
        <v>22.1</v>
      </c>
      <c r="AE142" s="31">
        <v>27.5</v>
      </c>
      <c r="AF142" s="31"/>
      <c r="AG142" s="372"/>
      <c r="AH142" s="372"/>
      <c r="AI142" s="286" t="s">
        <v>23</v>
      </c>
      <c r="AJ142" s="130"/>
      <c r="AK142" s="31"/>
      <c r="AL142" s="372"/>
      <c r="AM142" s="372"/>
      <c r="AN142" s="389" t="s">
        <v>2884</v>
      </c>
      <c r="AO142" s="389" t="s">
        <v>2885</v>
      </c>
      <c r="AP142" s="40" t="s">
        <v>2886</v>
      </c>
      <c r="AQ142" s="40" t="s">
        <v>2715</v>
      </c>
      <c r="AR142" s="41">
        <v>44069</v>
      </c>
      <c r="AS142" s="40" t="s">
        <v>2715</v>
      </c>
      <c r="AT142" s="41">
        <v>44112</v>
      </c>
      <c r="AU142" s="652" t="s">
        <v>37</v>
      </c>
    </row>
    <row r="143" spans="1:47" ht="77.25" x14ac:dyDescent="0.25">
      <c r="A143" s="488"/>
      <c r="B143" s="486"/>
      <c r="C143" s="407"/>
      <c r="D143" s="572"/>
      <c r="E143" s="572"/>
      <c r="F143" s="407"/>
      <c r="G143" s="407"/>
      <c r="H143" s="541"/>
      <c r="I143" s="121"/>
      <c r="J143" s="188">
        <v>3035</v>
      </c>
      <c r="K143" s="547" t="s">
        <v>2887</v>
      </c>
      <c r="L143" s="926">
        <v>1419269.5471000001</v>
      </c>
      <c r="M143" s="926">
        <v>5129439.3172000004</v>
      </c>
      <c r="N143" s="541"/>
      <c r="O143" s="541" t="s">
        <v>2888</v>
      </c>
      <c r="P143" s="408" t="s">
        <v>2047</v>
      </c>
      <c r="Q143" s="541">
        <v>0.04</v>
      </c>
      <c r="R143" s="541">
        <v>0.75</v>
      </c>
      <c r="S143" s="541"/>
      <c r="T143" s="601" t="s">
        <v>2888</v>
      </c>
      <c r="U143" s="102" t="s">
        <v>10</v>
      </c>
      <c r="V143" s="2" t="s">
        <v>16</v>
      </c>
      <c r="W143" s="2" t="s">
        <v>16</v>
      </c>
      <c r="X143" s="2" t="s">
        <v>345</v>
      </c>
      <c r="Y143" s="2" t="s">
        <v>2889</v>
      </c>
      <c r="Z143" s="388" t="s">
        <v>2882</v>
      </c>
      <c r="AA143" s="2">
        <v>2</v>
      </c>
      <c r="AB143" s="2" t="s">
        <v>2890</v>
      </c>
      <c r="AC143" s="2">
        <v>13</v>
      </c>
      <c r="AD143" s="2">
        <f>AC143+3.6</f>
        <v>16.600000000000001</v>
      </c>
      <c r="AE143" s="2">
        <f>AC143-3.8</f>
        <v>9.1999999999999993</v>
      </c>
      <c r="AI143" s="280" t="s">
        <v>2891</v>
      </c>
      <c r="AK143" s="2"/>
      <c r="AN143" s="388" t="s">
        <v>2892</v>
      </c>
      <c r="AO143" s="280" t="s">
        <v>2893</v>
      </c>
      <c r="AP143" s="3" t="s">
        <v>2886</v>
      </c>
      <c r="AQ143" s="3" t="s">
        <v>2715</v>
      </c>
      <c r="AR143" s="186">
        <v>44070</v>
      </c>
      <c r="AS143" s="3" t="s">
        <v>2715</v>
      </c>
      <c r="AT143" s="186">
        <v>44112</v>
      </c>
      <c r="AU143" s="1107" t="s">
        <v>37</v>
      </c>
    </row>
    <row r="144" spans="1:47" ht="77.25" x14ac:dyDescent="0.25">
      <c r="A144" s="488"/>
      <c r="B144" s="486"/>
      <c r="C144" s="407"/>
      <c r="D144" s="572"/>
      <c r="E144" s="572"/>
      <c r="F144" s="407"/>
      <c r="G144" s="407"/>
      <c r="H144" s="541"/>
      <c r="I144" s="121"/>
      <c r="J144" s="188">
        <v>3036</v>
      </c>
      <c r="K144" s="547" t="s">
        <v>2894</v>
      </c>
      <c r="L144" s="926">
        <v>1425501.0212999999</v>
      </c>
      <c r="M144" s="926">
        <v>5140148.6114999996</v>
      </c>
      <c r="N144" s="541"/>
      <c r="O144" s="541" t="s">
        <v>2895</v>
      </c>
      <c r="P144" s="408" t="s">
        <v>2047</v>
      </c>
      <c r="Q144" s="541">
        <v>0.6</v>
      </c>
      <c r="R144" s="541">
        <v>1.5</v>
      </c>
      <c r="S144" s="541"/>
      <c r="T144" s="601" t="s">
        <v>2895</v>
      </c>
      <c r="U144" s="102" t="s">
        <v>10</v>
      </c>
      <c r="V144" s="2" t="s">
        <v>16</v>
      </c>
      <c r="W144" s="2" t="s">
        <v>16</v>
      </c>
      <c r="X144" s="2" t="s">
        <v>345</v>
      </c>
      <c r="Y144" s="2" t="s">
        <v>2896</v>
      </c>
      <c r="Z144" s="388" t="s">
        <v>289</v>
      </c>
      <c r="AA144" s="2">
        <v>1</v>
      </c>
      <c r="AB144" s="2" t="s">
        <v>2897</v>
      </c>
      <c r="AC144" s="2">
        <v>16.399999999999999</v>
      </c>
      <c r="AD144" s="2">
        <f t="shared" ref="AD144:AD149" si="0">AC144+2</f>
        <v>18.399999999999999</v>
      </c>
      <c r="AE144" s="2">
        <f t="shared" ref="AE144:AE149" si="1">AC144-2</f>
        <v>14.399999999999999</v>
      </c>
      <c r="AI144" s="280" t="s">
        <v>23</v>
      </c>
      <c r="AK144" s="2"/>
      <c r="AN144" s="3" t="s">
        <v>3068</v>
      </c>
      <c r="AO144" s="388" t="s">
        <v>2898</v>
      </c>
      <c r="AP144" s="3" t="s">
        <v>2886</v>
      </c>
      <c r="AQ144" s="3" t="s">
        <v>2715</v>
      </c>
      <c r="AR144" s="186">
        <v>44070</v>
      </c>
      <c r="AS144" s="3" t="s">
        <v>2715</v>
      </c>
      <c r="AT144" s="186">
        <v>44112</v>
      </c>
      <c r="AU144" s="1107" t="s">
        <v>37</v>
      </c>
    </row>
    <row r="145" spans="1:47" ht="77.25" x14ac:dyDescent="0.25">
      <c r="A145" s="488"/>
      <c r="B145" s="486"/>
      <c r="C145" s="407"/>
      <c r="D145" s="572"/>
      <c r="E145" s="572"/>
      <c r="F145" s="407"/>
      <c r="G145" s="407"/>
      <c r="H145" s="541"/>
      <c r="I145" s="121"/>
      <c r="J145" s="188">
        <v>3037</v>
      </c>
      <c r="K145" s="547" t="s">
        <v>2899</v>
      </c>
      <c r="L145" s="926">
        <v>1425533.6433000001</v>
      </c>
      <c r="M145" s="926">
        <v>5140267.9912</v>
      </c>
      <c r="N145" s="541"/>
      <c r="O145" s="541" t="s">
        <v>2900</v>
      </c>
      <c r="P145" s="408" t="s">
        <v>2047</v>
      </c>
      <c r="Q145" s="541">
        <v>0.7</v>
      </c>
      <c r="R145" s="541">
        <v>1.5</v>
      </c>
      <c r="S145" s="541"/>
      <c r="T145" s="601" t="s">
        <v>2900</v>
      </c>
      <c r="U145" s="102" t="s">
        <v>10</v>
      </c>
      <c r="V145" s="2" t="s">
        <v>16</v>
      </c>
      <c r="W145" s="2" t="s">
        <v>16</v>
      </c>
      <c r="X145" s="2" t="s">
        <v>345</v>
      </c>
      <c r="Y145" s="2" t="s">
        <v>2901</v>
      </c>
      <c r="Z145" s="388" t="s">
        <v>289</v>
      </c>
      <c r="AA145" s="2">
        <v>1</v>
      </c>
      <c r="AB145" s="2" t="s">
        <v>2897</v>
      </c>
      <c r="AC145" s="2">
        <v>16.399999999999999</v>
      </c>
      <c r="AD145" s="2">
        <f t="shared" si="0"/>
        <v>18.399999999999999</v>
      </c>
      <c r="AE145" s="2">
        <f t="shared" si="1"/>
        <v>14.399999999999999</v>
      </c>
      <c r="AI145" s="280" t="s">
        <v>23</v>
      </c>
      <c r="AK145" s="2"/>
      <c r="AN145" s="3" t="s">
        <v>3068</v>
      </c>
      <c r="AO145" s="388" t="s">
        <v>2898</v>
      </c>
      <c r="AP145" s="3" t="s">
        <v>2886</v>
      </c>
      <c r="AQ145" s="3" t="s">
        <v>2715</v>
      </c>
      <c r="AR145" s="186">
        <v>44070</v>
      </c>
      <c r="AS145" s="3" t="s">
        <v>2715</v>
      </c>
      <c r="AT145" s="186">
        <v>44112</v>
      </c>
      <c r="AU145" s="1107" t="s">
        <v>37</v>
      </c>
    </row>
    <row r="146" spans="1:47" ht="77.25" x14ac:dyDescent="0.25">
      <c r="A146" s="488"/>
      <c r="B146" s="486"/>
      <c r="C146" s="407"/>
      <c r="D146" s="572"/>
      <c r="E146" s="572"/>
      <c r="F146" s="407"/>
      <c r="G146" s="407"/>
      <c r="H146" s="541"/>
      <c r="I146" s="121"/>
      <c r="J146" s="188">
        <v>3038</v>
      </c>
      <c r="K146" s="547" t="s">
        <v>2902</v>
      </c>
      <c r="L146" s="926">
        <v>1425670.0730000001</v>
      </c>
      <c r="M146" s="926">
        <v>5140516.8107000003</v>
      </c>
      <c r="N146" s="541"/>
      <c r="O146" s="541" t="s">
        <v>2903</v>
      </c>
      <c r="P146" s="408" t="s">
        <v>2047</v>
      </c>
      <c r="Q146" s="541">
        <v>0.8</v>
      </c>
      <c r="R146" s="541">
        <v>2.7</v>
      </c>
      <c r="S146" s="541"/>
      <c r="T146" s="601" t="s">
        <v>2903</v>
      </c>
      <c r="U146" s="102" t="s">
        <v>10</v>
      </c>
      <c r="V146" s="2" t="s">
        <v>16</v>
      </c>
      <c r="W146" s="2" t="s">
        <v>16</v>
      </c>
      <c r="X146" s="2" t="s">
        <v>345</v>
      </c>
      <c r="Y146" s="2" t="s">
        <v>2904</v>
      </c>
      <c r="Z146" s="388" t="s">
        <v>289</v>
      </c>
      <c r="AA146" s="2">
        <v>2</v>
      </c>
      <c r="AB146" s="2" t="s">
        <v>2897</v>
      </c>
      <c r="AC146" s="2">
        <v>16.399999999999999</v>
      </c>
      <c r="AD146" s="2">
        <f t="shared" si="0"/>
        <v>18.399999999999999</v>
      </c>
      <c r="AE146" s="2">
        <f t="shared" si="1"/>
        <v>14.399999999999999</v>
      </c>
      <c r="AI146" s="280" t="s">
        <v>23</v>
      </c>
      <c r="AK146" s="2"/>
      <c r="AN146" s="3" t="s">
        <v>3068</v>
      </c>
      <c r="AO146" s="388" t="s">
        <v>2898</v>
      </c>
      <c r="AP146" s="3" t="s">
        <v>2886</v>
      </c>
      <c r="AQ146" s="3" t="s">
        <v>2715</v>
      </c>
      <c r="AR146" s="186">
        <v>44070</v>
      </c>
      <c r="AS146" s="3" t="s">
        <v>2715</v>
      </c>
      <c r="AT146" s="186">
        <v>44112</v>
      </c>
      <c r="AU146" s="1107" t="s">
        <v>37</v>
      </c>
    </row>
    <row r="147" spans="1:47" ht="77.25" x14ac:dyDescent="0.25">
      <c r="A147" s="488"/>
      <c r="B147" s="486"/>
      <c r="C147" s="407"/>
      <c r="D147" s="572"/>
      <c r="E147" s="572"/>
      <c r="F147" s="407"/>
      <c r="G147" s="407"/>
      <c r="H147" s="541"/>
      <c r="I147" s="121"/>
      <c r="J147" s="188">
        <v>3039</v>
      </c>
      <c r="K147" s="547" t="s">
        <v>2905</v>
      </c>
      <c r="L147" s="926">
        <v>1425721.237</v>
      </c>
      <c r="M147" s="926">
        <v>5140674.5855999999</v>
      </c>
      <c r="N147" s="541"/>
      <c r="O147" s="541" t="s">
        <v>2906</v>
      </c>
      <c r="P147" s="408" t="s">
        <v>2047</v>
      </c>
      <c r="Q147" s="541">
        <v>0.19</v>
      </c>
      <c r="R147" s="541">
        <v>0.35</v>
      </c>
      <c r="S147" s="541"/>
      <c r="T147" s="601" t="s">
        <v>2906</v>
      </c>
      <c r="U147" s="102" t="s">
        <v>10</v>
      </c>
      <c r="V147" s="2" t="s">
        <v>16</v>
      </c>
      <c r="W147" s="2" t="s">
        <v>16</v>
      </c>
      <c r="X147" s="2" t="s">
        <v>345</v>
      </c>
      <c r="Y147" s="2" t="s">
        <v>2907</v>
      </c>
      <c r="Z147" s="388" t="s">
        <v>289</v>
      </c>
      <c r="AA147" s="2">
        <v>1</v>
      </c>
      <c r="AB147" s="2" t="s">
        <v>2897</v>
      </c>
      <c r="AC147" s="2">
        <v>16.399999999999999</v>
      </c>
      <c r="AD147" s="2">
        <f t="shared" si="0"/>
        <v>18.399999999999999</v>
      </c>
      <c r="AE147" s="2">
        <f t="shared" si="1"/>
        <v>14.399999999999999</v>
      </c>
      <c r="AI147" s="280" t="s">
        <v>23</v>
      </c>
      <c r="AK147" s="2"/>
      <c r="AN147" s="3" t="s">
        <v>3068</v>
      </c>
      <c r="AO147" s="388" t="s">
        <v>2898</v>
      </c>
      <c r="AP147" s="3" t="s">
        <v>2886</v>
      </c>
      <c r="AQ147" s="3" t="s">
        <v>2715</v>
      </c>
      <c r="AR147" s="186">
        <v>44070</v>
      </c>
      <c r="AS147" s="3" t="s">
        <v>2715</v>
      </c>
      <c r="AT147" s="186">
        <v>44112</v>
      </c>
      <c r="AU147" s="1107" t="s">
        <v>37</v>
      </c>
    </row>
    <row r="148" spans="1:47" ht="77.25" x14ac:dyDescent="0.25">
      <c r="A148" s="488"/>
      <c r="B148" s="486"/>
      <c r="C148" s="407"/>
      <c r="D148" s="572"/>
      <c r="E148" s="572"/>
      <c r="F148" s="407"/>
      <c r="G148" s="407"/>
      <c r="H148" s="541"/>
      <c r="I148" s="121"/>
      <c r="J148" s="188">
        <v>3040</v>
      </c>
      <c r="K148" s="547" t="s">
        <v>2908</v>
      </c>
      <c r="L148" s="926">
        <v>1425744.1111999999</v>
      </c>
      <c r="M148" s="926">
        <v>5140725.2551999995</v>
      </c>
      <c r="N148" s="541"/>
      <c r="O148" s="541" t="s">
        <v>2909</v>
      </c>
      <c r="P148" s="408" t="s">
        <v>2047</v>
      </c>
      <c r="Q148" s="541">
        <v>0.65</v>
      </c>
      <c r="R148" s="541">
        <v>1.19</v>
      </c>
      <c r="S148" s="541"/>
      <c r="T148" s="601" t="s">
        <v>2909</v>
      </c>
      <c r="U148" s="102" t="s">
        <v>10</v>
      </c>
      <c r="V148" s="2" t="s">
        <v>16</v>
      </c>
      <c r="W148" s="2" t="s">
        <v>16</v>
      </c>
      <c r="X148" s="2" t="s">
        <v>345</v>
      </c>
      <c r="Y148" s="2" t="s">
        <v>2910</v>
      </c>
      <c r="Z148" s="388" t="s">
        <v>289</v>
      </c>
      <c r="AA148" s="2">
        <v>1</v>
      </c>
      <c r="AB148" s="2" t="s">
        <v>2897</v>
      </c>
      <c r="AC148" s="2">
        <v>16.399999999999999</v>
      </c>
      <c r="AD148" s="2">
        <f t="shared" si="0"/>
        <v>18.399999999999999</v>
      </c>
      <c r="AE148" s="2">
        <f t="shared" si="1"/>
        <v>14.399999999999999</v>
      </c>
      <c r="AI148" s="280" t="s">
        <v>23</v>
      </c>
      <c r="AK148" s="2"/>
      <c r="AN148" s="3" t="s">
        <v>3068</v>
      </c>
      <c r="AO148" s="388" t="s">
        <v>2898</v>
      </c>
      <c r="AP148" s="3" t="s">
        <v>2886</v>
      </c>
      <c r="AQ148" s="3" t="s">
        <v>2715</v>
      </c>
      <c r="AR148" s="186">
        <v>44070</v>
      </c>
      <c r="AS148" s="3" t="s">
        <v>2715</v>
      </c>
      <c r="AT148" s="186">
        <v>44112</v>
      </c>
      <c r="AU148" s="1107" t="s">
        <v>37</v>
      </c>
    </row>
    <row r="149" spans="1:47" ht="77.25" x14ac:dyDescent="0.25">
      <c r="A149" s="488"/>
      <c r="B149" s="486"/>
      <c r="C149" s="407"/>
      <c r="D149" s="572"/>
      <c r="E149" s="572"/>
      <c r="F149" s="407"/>
      <c r="G149" s="407"/>
      <c r="H149" s="541"/>
      <c r="I149" s="121"/>
      <c r="J149" s="188">
        <v>3041</v>
      </c>
      <c r="K149" s="547" t="s">
        <v>2911</v>
      </c>
      <c r="L149" s="926">
        <v>1425822.5085</v>
      </c>
      <c r="M149" s="926">
        <v>5141150.4407000002</v>
      </c>
      <c r="N149" s="541"/>
      <c r="O149" s="541" t="s">
        <v>2912</v>
      </c>
      <c r="P149" s="408" t="s">
        <v>2047</v>
      </c>
      <c r="Q149" s="541">
        <v>0.77</v>
      </c>
      <c r="R149" s="541">
        <v>1.84</v>
      </c>
      <c r="S149" s="541"/>
      <c r="T149" s="601" t="s">
        <v>2913</v>
      </c>
      <c r="U149" s="102" t="s">
        <v>10</v>
      </c>
      <c r="V149" s="2" t="s">
        <v>16</v>
      </c>
      <c r="W149" s="2" t="s">
        <v>16</v>
      </c>
      <c r="X149" s="2" t="s">
        <v>345</v>
      </c>
      <c r="Y149" s="2" t="s">
        <v>2914</v>
      </c>
      <c r="Z149" s="388" t="s">
        <v>289</v>
      </c>
      <c r="AA149" s="2">
        <v>2</v>
      </c>
      <c r="AB149" s="2" t="s">
        <v>2897</v>
      </c>
      <c r="AC149" s="2">
        <v>16.399999999999999</v>
      </c>
      <c r="AD149" s="2">
        <f t="shared" si="0"/>
        <v>18.399999999999999</v>
      </c>
      <c r="AE149" s="2">
        <f t="shared" si="1"/>
        <v>14.399999999999999</v>
      </c>
      <c r="AI149" s="280" t="s">
        <v>23</v>
      </c>
      <c r="AK149" s="2"/>
      <c r="AN149" s="3" t="s">
        <v>3068</v>
      </c>
      <c r="AO149" s="388" t="s">
        <v>2898</v>
      </c>
      <c r="AP149" s="3" t="s">
        <v>2886</v>
      </c>
      <c r="AQ149" s="3" t="s">
        <v>2715</v>
      </c>
      <c r="AR149" s="186">
        <v>44070</v>
      </c>
      <c r="AS149" s="3" t="s">
        <v>2715</v>
      </c>
      <c r="AT149" s="186">
        <v>44112</v>
      </c>
      <c r="AU149" s="1107" t="s">
        <v>37</v>
      </c>
    </row>
    <row r="150" spans="1:47" ht="77.25" x14ac:dyDescent="0.25">
      <c r="A150" s="488"/>
      <c r="B150" s="486"/>
      <c r="C150" s="407"/>
      <c r="D150" s="572"/>
      <c r="E150" s="572"/>
      <c r="F150" s="407"/>
      <c r="G150" s="407"/>
      <c r="H150" s="541"/>
      <c r="I150" s="121"/>
      <c r="J150" s="188">
        <v>3042</v>
      </c>
      <c r="K150" s="547" t="s">
        <v>2915</v>
      </c>
      <c r="L150" s="926">
        <v>1418759.4631000001</v>
      </c>
      <c r="M150" s="926">
        <v>5128827.6999000004</v>
      </c>
      <c r="N150" s="541"/>
      <c r="O150" s="541" t="s">
        <v>2916</v>
      </c>
      <c r="P150" s="408" t="s">
        <v>2047</v>
      </c>
      <c r="Q150" s="541">
        <v>0.05</v>
      </c>
      <c r="R150" s="541">
        <v>0.14000000000000001</v>
      </c>
      <c r="S150" s="541"/>
      <c r="T150" s="601" t="s">
        <v>2916</v>
      </c>
      <c r="U150" s="102" t="s">
        <v>10</v>
      </c>
      <c r="V150" s="2" t="s">
        <v>16</v>
      </c>
      <c r="W150" s="2" t="s">
        <v>16</v>
      </c>
      <c r="X150" s="2" t="s">
        <v>345</v>
      </c>
      <c r="Y150" s="2" t="s">
        <v>2917</v>
      </c>
      <c r="Z150" s="388" t="s">
        <v>2882</v>
      </c>
      <c r="AA150" s="2">
        <v>1</v>
      </c>
      <c r="AB150" s="2" t="s">
        <v>2890</v>
      </c>
      <c r="AC150" s="2">
        <v>13</v>
      </c>
      <c r="AD150" s="2">
        <f>AC150+3.6</f>
        <v>16.600000000000001</v>
      </c>
      <c r="AE150" s="2">
        <f>AC150-3.8</f>
        <v>9.1999999999999993</v>
      </c>
      <c r="AI150" s="280" t="s">
        <v>2891</v>
      </c>
      <c r="AK150" s="2"/>
      <c r="AN150" s="420" t="s">
        <v>3066</v>
      </c>
      <c r="AO150" s="280" t="s">
        <v>2893</v>
      </c>
      <c r="AP150" s="3" t="s">
        <v>2886</v>
      </c>
      <c r="AQ150" s="3" t="s">
        <v>2715</v>
      </c>
      <c r="AR150" s="186">
        <v>44070</v>
      </c>
      <c r="AS150" s="3" t="s">
        <v>2715</v>
      </c>
      <c r="AT150" s="186">
        <v>44112</v>
      </c>
      <c r="AU150" s="1107" t="s">
        <v>37</v>
      </c>
    </row>
    <row r="151" spans="1:47" ht="77.25" x14ac:dyDescent="0.25">
      <c r="A151" s="488"/>
      <c r="B151" s="486"/>
      <c r="C151" s="407"/>
      <c r="D151" s="572"/>
      <c r="E151" s="572"/>
      <c r="F151" s="407"/>
      <c r="G151" s="407"/>
      <c r="H151" s="541"/>
      <c r="I151" s="121"/>
      <c r="J151" s="188">
        <v>3043</v>
      </c>
      <c r="K151" s="547" t="s">
        <v>2918</v>
      </c>
      <c r="L151" s="926">
        <v>1423437.4972000001</v>
      </c>
      <c r="M151" s="926">
        <v>5137025.9386999998</v>
      </c>
      <c r="N151" s="541"/>
      <c r="O151" s="541" t="s">
        <v>2919</v>
      </c>
      <c r="P151" s="408" t="s">
        <v>2047</v>
      </c>
      <c r="Q151" s="541">
        <v>0.04</v>
      </c>
      <c r="R151" s="541">
        <v>0.92</v>
      </c>
      <c r="S151" s="541"/>
      <c r="T151" s="601" t="s">
        <v>2919</v>
      </c>
      <c r="U151" s="102" t="s">
        <v>10</v>
      </c>
      <c r="V151" s="2" t="s">
        <v>16</v>
      </c>
      <c r="W151" s="2" t="s">
        <v>16</v>
      </c>
      <c r="X151" s="2" t="s">
        <v>345</v>
      </c>
      <c r="Y151" s="2" t="s">
        <v>2920</v>
      </c>
      <c r="Z151" s="388" t="s">
        <v>289</v>
      </c>
      <c r="AA151" s="2">
        <v>2</v>
      </c>
      <c r="AB151" s="2" t="s">
        <v>2897</v>
      </c>
      <c r="AC151" s="2">
        <v>16.399999999999999</v>
      </c>
      <c r="AD151" s="2">
        <f t="shared" ref="AD151:AD166" si="2">AC151+2</f>
        <v>18.399999999999999</v>
      </c>
      <c r="AE151" s="2">
        <f t="shared" ref="AE151:AE166" si="3">AC151-2</f>
        <v>14.399999999999999</v>
      </c>
      <c r="AI151" s="280" t="s">
        <v>23</v>
      </c>
      <c r="AK151" s="2"/>
      <c r="AN151" s="420" t="s">
        <v>3073</v>
      </c>
      <c r="AO151" s="388" t="s">
        <v>2898</v>
      </c>
      <c r="AP151" s="3" t="s">
        <v>2886</v>
      </c>
      <c r="AQ151" s="3" t="s">
        <v>2715</v>
      </c>
      <c r="AR151" s="186">
        <v>44070</v>
      </c>
      <c r="AS151" s="3" t="s">
        <v>2715</v>
      </c>
      <c r="AT151" s="186">
        <v>44112</v>
      </c>
      <c r="AU151" s="1107" t="s">
        <v>37</v>
      </c>
    </row>
    <row r="152" spans="1:47" ht="77.25" x14ac:dyDescent="0.25">
      <c r="A152" s="488"/>
      <c r="B152" s="486"/>
      <c r="C152" s="407"/>
      <c r="D152" s="572"/>
      <c r="E152" s="572"/>
      <c r="F152" s="407"/>
      <c r="G152" s="407"/>
      <c r="H152" s="541"/>
      <c r="I152" s="121"/>
      <c r="J152" s="188">
        <v>3044</v>
      </c>
      <c r="K152" s="547" t="s">
        <v>2921</v>
      </c>
      <c r="L152" s="926">
        <v>1423447.6639</v>
      </c>
      <c r="M152" s="926">
        <v>5137048.8273999998</v>
      </c>
      <c r="N152" s="541"/>
      <c r="O152" s="541" t="s">
        <v>2922</v>
      </c>
      <c r="P152" s="408" t="s">
        <v>2047</v>
      </c>
      <c r="Q152" s="541">
        <v>0.34</v>
      </c>
      <c r="R152" s="541">
        <v>1.07</v>
      </c>
      <c r="S152" s="541"/>
      <c r="T152" s="601" t="s">
        <v>2922</v>
      </c>
      <c r="U152" s="102" t="s">
        <v>10</v>
      </c>
      <c r="V152" s="2" t="s">
        <v>16</v>
      </c>
      <c r="W152" s="2" t="s">
        <v>16</v>
      </c>
      <c r="X152" s="2" t="s">
        <v>345</v>
      </c>
      <c r="Y152" s="2" t="s">
        <v>2923</v>
      </c>
      <c r="Z152" s="388" t="s">
        <v>289</v>
      </c>
      <c r="AA152" s="2">
        <v>2</v>
      </c>
      <c r="AB152" s="2" t="s">
        <v>2897</v>
      </c>
      <c r="AC152" s="2">
        <v>16.399999999999999</v>
      </c>
      <c r="AD152" s="2">
        <f t="shared" si="2"/>
        <v>18.399999999999999</v>
      </c>
      <c r="AE152" s="2">
        <f t="shared" si="3"/>
        <v>14.399999999999999</v>
      </c>
      <c r="AI152" s="280" t="s">
        <v>23</v>
      </c>
      <c r="AK152" s="2"/>
      <c r="AN152" s="420" t="s">
        <v>3073</v>
      </c>
      <c r="AO152" s="388" t="s">
        <v>2898</v>
      </c>
      <c r="AP152" s="3" t="s">
        <v>2886</v>
      </c>
      <c r="AQ152" s="3" t="s">
        <v>2715</v>
      </c>
      <c r="AR152" s="186">
        <v>44070</v>
      </c>
      <c r="AS152" s="3" t="s">
        <v>2715</v>
      </c>
      <c r="AT152" s="186">
        <v>44112</v>
      </c>
      <c r="AU152" s="1107" t="s">
        <v>37</v>
      </c>
    </row>
    <row r="153" spans="1:47" ht="77.25" x14ac:dyDescent="0.25">
      <c r="A153" s="488"/>
      <c r="B153" s="486"/>
      <c r="C153" s="407"/>
      <c r="D153" s="572"/>
      <c r="E153" s="572"/>
      <c r="F153" s="407"/>
      <c r="G153" s="407"/>
      <c r="H153" s="541"/>
      <c r="I153" s="121"/>
      <c r="J153" s="188">
        <v>3045</v>
      </c>
      <c r="K153" s="547" t="s">
        <v>2924</v>
      </c>
      <c r="L153" s="926">
        <v>1423475.6177000001</v>
      </c>
      <c r="M153" s="926">
        <v>5137111.76</v>
      </c>
      <c r="N153" s="541"/>
      <c r="O153" s="541" t="s">
        <v>2925</v>
      </c>
      <c r="P153" s="408" t="s">
        <v>2047</v>
      </c>
      <c r="Q153" s="541">
        <v>0.18</v>
      </c>
      <c r="R153" s="541">
        <v>1.1399999999999999</v>
      </c>
      <c r="S153" s="541"/>
      <c r="T153" s="601" t="s">
        <v>2925</v>
      </c>
      <c r="U153" s="102" t="s">
        <v>10</v>
      </c>
      <c r="V153" s="2" t="s">
        <v>16</v>
      </c>
      <c r="W153" s="2" t="s">
        <v>16</v>
      </c>
      <c r="X153" s="2" t="s">
        <v>345</v>
      </c>
      <c r="Y153" s="2" t="s">
        <v>2926</v>
      </c>
      <c r="Z153" s="388" t="s">
        <v>289</v>
      </c>
      <c r="AA153" s="2">
        <v>2</v>
      </c>
      <c r="AB153" s="2" t="s">
        <v>2897</v>
      </c>
      <c r="AC153" s="2">
        <v>16.399999999999999</v>
      </c>
      <c r="AD153" s="2">
        <f t="shared" si="2"/>
        <v>18.399999999999999</v>
      </c>
      <c r="AE153" s="2">
        <f t="shared" si="3"/>
        <v>14.399999999999999</v>
      </c>
      <c r="AI153" s="280" t="s">
        <v>23</v>
      </c>
      <c r="AK153" s="2"/>
      <c r="AN153" s="420" t="s">
        <v>3073</v>
      </c>
      <c r="AO153" s="388" t="s">
        <v>2898</v>
      </c>
      <c r="AP153" s="3" t="s">
        <v>2886</v>
      </c>
      <c r="AQ153" s="3" t="s">
        <v>2715</v>
      </c>
      <c r="AR153" s="186">
        <v>44070</v>
      </c>
      <c r="AS153" s="3" t="s">
        <v>2715</v>
      </c>
      <c r="AT153" s="186">
        <v>44112</v>
      </c>
      <c r="AU153" s="1107" t="s">
        <v>37</v>
      </c>
    </row>
    <row r="154" spans="1:47" ht="77.25" x14ac:dyDescent="0.25">
      <c r="A154" s="488"/>
      <c r="B154" s="486"/>
      <c r="C154" s="407"/>
      <c r="D154" s="572"/>
      <c r="E154" s="572"/>
      <c r="F154" s="407"/>
      <c r="G154" s="407"/>
      <c r="H154" s="541"/>
      <c r="I154" s="121"/>
      <c r="J154" s="188">
        <v>3046</v>
      </c>
      <c r="K154" s="547" t="s">
        <v>2927</v>
      </c>
      <c r="L154" s="926">
        <v>1423528.2449</v>
      </c>
      <c r="M154" s="926">
        <v>5137665.2501999997</v>
      </c>
      <c r="N154" s="541"/>
      <c r="O154" s="541" t="s">
        <v>2928</v>
      </c>
      <c r="P154" s="408" t="s">
        <v>2047</v>
      </c>
      <c r="Q154" s="541">
        <v>0.42</v>
      </c>
      <c r="R154" s="541">
        <v>0.95</v>
      </c>
      <c r="S154" s="541"/>
      <c r="T154" s="601" t="s">
        <v>2928</v>
      </c>
      <c r="U154" s="102" t="s">
        <v>10</v>
      </c>
      <c r="V154" s="2" t="s">
        <v>16</v>
      </c>
      <c r="W154" s="2" t="s">
        <v>16</v>
      </c>
      <c r="X154" s="2" t="s">
        <v>345</v>
      </c>
      <c r="Y154" s="2" t="s">
        <v>2929</v>
      </c>
      <c r="Z154" s="388" t="s">
        <v>289</v>
      </c>
      <c r="AA154" s="2">
        <v>1</v>
      </c>
      <c r="AB154" s="2" t="s">
        <v>2897</v>
      </c>
      <c r="AC154" s="2">
        <v>16.399999999999999</v>
      </c>
      <c r="AD154" s="2">
        <f t="shared" si="2"/>
        <v>18.399999999999999</v>
      </c>
      <c r="AE154" s="2">
        <f t="shared" si="3"/>
        <v>14.399999999999999</v>
      </c>
      <c r="AI154" s="280" t="s">
        <v>23</v>
      </c>
      <c r="AK154" s="2"/>
      <c r="AN154" s="420" t="s">
        <v>3073</v>
      </c>
      <c r="AO154" s="388" t="s">
        <v>2898</v>
      </c>
      <c r="AP154" s="3" t="s">
        <v>2886</v>
      </c>
      <c r="AQ154" s="3" t="s">
        <v>2715</v>
      </c>
      <c r="AR154" s="186">
        <v>44070</v>
      </c>
      <c r="AS154" s="3" t="s">
        <v>2715</v>
      </c>
      <c r="AT154" s="186">
        <v>44112</v>
      </c>
      <c r="AU154" s="1107" t="s">
        <v>37</v>
      </c>
    </row>
    <row r="155" spans="1:47" ht="77.25" x14ac:dyDescent="0.25">
      <c r="A155" s="488"/>
      <c r="B155" s="486"/>
      <c r="C155" s="407"/>
      <c r="D155" s="572"/>
      <c r="E155" s="572"/>
      <c r="F155" s="407"/>
      <c r="G155" s="407"/>
      <c r="H155" s="541"/>
      <c r="I155" s="121"/>
      <c r="J155" s="188">
        <v>3047</v>
      </c>
      <c r="K155" s="547" t="s">
        <v>2930</v>
      </c>
      <c r="L155" s="926">
        <v>1423624.2553999999</v>
      </c>
      <c r="M155" s="926">
        <v>5137979.5085000005</v>
      </c>
      <c r="N155" s="541"/>
      <c r="O155" s="541" t="s">
        <v>2931</v>
      </c>
      <c r="P155" s="408" t="s">
        <v>2047</v>
      </c>
      <c r="Q155" s="541">
        <v>0.81</v>
      </c>
      <c r="R155" s="541">
        <v>1.5</v>
      </c>
      <c r="S155" s="541"/>
      <c r="T155" s="601" t="s">
        <v>2931</v>
      </c>
      <c r="U155" s="102" t="s">
        <v>10</v>
      </c>
      <c r="V155" s="2" t="s">
        <v>16</v>
      </c>
      <c r="W155" s="2" t="s">
        <v>16</v>
      </c>
      <c r="X155" s="2" t="s">
        <v>345</v>
      </c>
      <c r="Y155" s="2" t="s">
        <v>2932</v>
      </c>
      <c r="Z155" s="388" t="s">
        <v>289</v>
      </c>
      <c r="AA155" s="2">
        <v>1</v>
      </c>
      <c r="AB155" s="2" t="s">
        <v>2897</v>
      </c>
      <c r="AC155" s="2">
        <v>16.399999999999999</v>
      </c>
      <c r="AD155" s="2">
        <f t="shared" si="2"/>
        <v>18.399999999999999</v>
      </c>
      <c r="AE155" s="2">
        <f t="shared" si="3"/>
        <v>14.399999999999999</v>
      </c>
      <c r="AI155" s="280" t="s">
        <v>23</v>
      </c>
      <c r="AK155" s="2"/>
      <c r="AN155" s="420" t="s">
        <v>3069</v>
      </c>
      <c r="AO155" s="388" t="s">
        <v>2898</v>
      </c>
      <c r="AP155" s="3" t="s">
        <v>2886</v>
      </c>
      <c r="AQ155" s="3" t="s">
        <v>2715</v>
      </c>
      <c r="AR155" s="186">
        <v>44070</v>
      </c>
      <c r="AS155" s="3" t="s">
        <v>2715</v>
      </c>
      <c r="AT155" s="186">
        <v>44112</v>
      </c>
      <c r="AU155" s="1107" t="s">
        <v>37</v>
      </c>
    </row>
    <row r="156" spans="1:47" ht="77.25" x14ac:dyDescent="0.25">
      <c r="A156" s="488"/>
      <c r="B156" s="486"/>
      <c r="C156" s="407"/>
      <c r="D156" s="572"/>
      <c r="E156" s="572"/>
      <c r="F156" s="407"/>
      <c r="G156" s="407"/>
      <c r="H156" s="541"/>
      <c r="I156" s="121"/>
      <c r="J156" s="188">
        <v>3048</v>
      </c>
      <c r="K156" s="547" t="s">
        <v>2933</v>
      </c>
      <c r="L156" s="926">
        <v>1423671.4176</v>
      </c>
      <c r="M156" s="926">
        <v>5138189.7512999997</v>
      </c>
      <c r="N156" s="541"/>
      <c r="O156" s="541" t="s">
        <v>2934</v>
      </c>
      <c r="P156" s="408" t="s">
        <v>2047</v>
      </c>
      <c r="Q156" s="541">
        <v>0.5</v>
      </c>
      <c r="R156" s="541">
        <v>1.58</v>
      </c>
      <c r="S156" s="541"/>
      <c r="T156" s="601" t="s">
        <v>2934</v>
      </c>
      <c r="U156" s="102" t="s">
        <v>10</v>
      </c>
      <c r="V156" s="2" t="s">
        <v>16</v>
      </c>
      <c r="W156" s="2" t="s">
        <v>16</v>
      </c>
      <c r="X156" s="2" t="s">
        <v>345</v>
      </c>
      <c r="Y156" s="2" t="s">
        <v>2935</v>
      </c>
      <c r="Z156" s="388" t="s">
        <v>289</v>
      </c>
      <c r="AA156" s="2">
        <v>2</v>
      </c>
      <c r="AB156" s="2" t="s">
        <v>2897</v>
      </c>
      <c r="AC156" s="2">
        <v>16.399999999999999</v>
      </c>
      <c r="AD156" s="2">
        <f t="shared" si="2"/>
        <v>18.399999999999999</v>
      </c>
      <c r="AE156" s="2">
        <f t="shared" si="3"/>
        <v>14.399999999999999</v>
      </c>
      <c r="AI156" s="280" t="s">
        <v>23</v>
      </c>
      <c r="AK156" s="2"/>
      <c r="AN156" s="420" t="s">
        <v>3073</v>
      </c>
      <c r="AO156" s="388" t="s">
        <v>2898</v>
      </c>
      <c r="AP156" s="3" t="s">
        <v>2886</v>
      </c>
      <c r="AQ156" s="3" t="s">
        <v>2715</v>
      </c>
      <c r="AR156" s="186">
        <v>44070</v>
      </c>
      <c r="AS156" s="3" t="s">
        <v>2715</v>
      </c>
      <c r="AT156" s="186">
        <v>44112</v>
      </c>
      <c r="AU156" s="1107" t="s">
        <v>37</v>
      </c>
    </row>
    <row r="157" spans="1:47" ht="77.25" x14ac:dyDescent="0.25">
      <c r="A157" s="488"/>
      <c r="B157" s="486"/>
      <c r="C157" s="407"/>
      <c r="D157" s="572"/>
      <c r="E157" s="572"/>
      <c r="F157" s="407"/>
      <c r="G157" s="407"/>
      <c r="H157" s="541"/>
      <c r="I157" s="121"/>
      <c r="J157" s="188">
        <v>3049</v>
      </c>
      <c r="K157" s="547" t="s">
        <v>2936</v>
      </c>
      <c r="L157" s="926">
        <v>1423775.0042000001</v>
      </c>
      <c r="M157" s="926">
        <v>5138459.7761000004</v>
      </c>
      <c r="N157" s="541"/>
      <c r="O157" s="541" t="s">
        <v>2937</v>
      </c>
      <c r="P157" s="408" t="s">
        <v>2047</v>
      </c>
      <c r="Q157" s="541">
        <v>0.47</v>
      </c>
      <c r="R157" s="541">
        <v>1.96</v>
      </c>
      <c r="S157" s="541"/>
      <c r="T157" s="601" t="s">
        <v>2937</v>
      </c>
      <c r="U157" s="102" t="s">
        <v>10</v>
      </c>
      <c r="V157" s="2" t="s">
        <v>16</v>
      </c>
      <c r="W157" s="2" t="s">
        <v>16</v>
      </c>
      <c r="X157" s="2" t="s">
        <v>345</v>
      </c>
      <c r="Y157" s="2" t="s">
        <v>2938</v>
      </c>
      <c r="Z157" s="388" t="s">
        <v>289</v>
      </c>
      <c r="AA157" s="2">
        <v>2</v>
      </c>
      <c r="AB157" s="2" t="s">
        <v>2897</v>
      </c>
      <c r="AC157" s="2">
        <v>16.399999999999999</v>
      </c>
      <c r="AD157" s="2">
        <f t="shared" si="2"/>
        <v>18.399999999999999</v>
      </c>
      <c r="AE157" s="2">
        <f t="shared" si="3"/>
        <v>14.399999999999999</v>
      </c>
      <c r="AI157" s="280" t="s">
        <v>23</v>
      </c>
      <c r="AK157" s="2"/>
      <c r="AN157" s="420" t="s">
        <v>3073</v>
      </c>
      <c r="AO157" s="388" t="s">
        <v>2898</v>
      </c>
      <c r="AP157" s="3" t="s">
        <v>2886</v>
      </c>
      <c r="AQ157" s="3" t="s">
        <v>2715</v>
      </c>
      <c r="AR157" s="186">
        <v>44070</v>
      </c>
      <c r="AS157" s="3" t="s">
        <v>2715</v>
      </c>
      <c r="AT157" s="186">
        <v>44112</v>
      </c>
      <c r="AU157" s="1107" t="s">
        <v>37</v>
      </c>
    </row>
    <row r="158" spans="1:47" ht="77.25" x14ac:dyDescent="0.25">
      <c r="A158" s="488"/>
      <c r="B158" s="486"/>
      <c r="C158" s="407"/>
      <c r="D158" s="572"/>
      <c r="E158" s="572"/>
      <c r="F158" s="407"/>
      <c r="G158" s="407"/>
      <c r="H158" s="541"/>
      <c r="I158" s="121"/>
      <c r="J158" s="188">
        <v>3050</v>
      </c>
      <c r="K158" s="547" t="s">
        <v>2939</v>
      </c>
      <c r="L158" s="926">
        <v>1423921.3817</v>
      </c>
      <c r="M158" s="926">
        <v>5138551.6807000004</v>
      </c>
      <c r="N158" s="541"/>
      <c r="O158" s="541" t="s">
        <v>2940</v>
      </c>
      <c r="P158" s="408" t="s">
        <v>2047</v>
      </c>
      <c r="Q158" s="541">
        <v>0.37</v>
      </c>
      <c r="R158" s="541">
        <v>1.48</v>
      </c>
      <c r="S158" s="541"/>
      <c r="T158" s="601" t="s">
        <v>2940</v>
      </c>
      <c r="U158" s="102" t="s">
        <v>10</v>
      </c>
      <c r="V158" s="2" t="s">
        <v>16</v>
      </c>
      <c r="W158" s="2" t="s">
        <v>16</v>
      </c>
      <c r="X158" s="2" t="s">
        <v>345</v>
      </c>
      <c r="Y158" s="2" t="s">
        <v>2941</v>
      </c>
      <c r="Z158" s="388" t="s">
        <v>289</v>
      </c>
      <c r="AA158" s="2">
        <v>2</v>
      </c>
      <c r="AB158" s="2" t="s">
        <v>2897</v>
      </c>
      <c r="AC158" s="2">
        <v>16.399999999999999</v>
      </c>
      <c r="AD158" s="2">
        <f t="shared" si="2"/>
        <v>18.399999999999999</v>
      </c>
      <c r="AE158" s="2">
        <f t="shared" si="3"/>
        <v>14.399999999999999</v>
      </c>
      <c r="AI158" s="280" t="s">
        <v>23</v>
      </c>
      <c r="AK158" s="2"/>
      <c r="AN158" s="420" t="s">
        <v>3070</v>
      </c>
      <c r="AO158" s="388" t="s">
        <v>2898</v>
      </c>
      <c r="AP158" s="3" t="s">
        <v>2886</v>
      </c>
      <c r="AQ158" s="3" t="s">
        <v>2715</v>
      </c>
      <c r="AR158" s="186">
        <v>44070</v>
      </c>
      <c r="AS158" s="3" t="s">
        <v>2715</v>
      </c>
      <c r="AT158" s="186">
        <v>44112</v>
      </c>
      <c r="AU158" s="1107" t="s">
        <v>37</v>
      </c>
    </row>
    <row r="159" spans="1:47" ht="77.25" x14ac:dyDescent="0.25">
      <c r="A159" s="488"/>
      <c r="B159" s="486"/>
      <c r="C159" s="407"/>
      <c r="D159" s="572"/>
      <c r="E159" s="572"/>
      <c r="F159" s="407"/>
      <c r="G159" s="407"/>
      <c r="H159" s="541"/>
      <c r="I159" s="121"/>
      <c r="J159" s="188">
        <v>3051</v>
      </c>
      <c r="K159" s="547" t="s">
        <v>2942</v>
      </c>
      <c r="L159" s="926">
        <v>1424059.9480000001</v>
      </c>
      <c r="M159" s="926">
        <v>5138626.0521999998</v>
      </c>
      <c r="N159" s="541"/>
      <c r="O159" s="541" t="s">
        <v>2943</v>
      </c>
      <c r="P159" s="408" t="s">
        <v>2047</v>
      </c>
      <c r="Q159" s="541">
        <v>0.54</v>
      </c>
      <c r="R159" s="541">
        <v>1.2</v>
      </c>
      <c r="S159" s="541"/>
      <c r="T159" s="601" t="s">
        <v>2943</v>
      </c>
      <c r="U159" s="102" t="s">
        <v>10</v>
      </c>
      <c r="V159" s="2" t="s">
        <v>16</v>
      </c>
      <c r="W159" s="2" t="s">
        <v>16</v>
      </c>
      <c r="X159" s="2" t="s">
        <v>345</v>
      </c>
      <c r="Y159" s="2" t="s">
        <v>2944</v>
      </c>
      <c r="Z159" s="388" t="s">
        <v>289</v>
      </c>
      <c r="AA159" s="2">
        <v>1</v>
      </c>
      <c r="AB159" s="2" t="s">
        <v>2897</v>
      </c>
      <c r="AC159" s="2">
        <v>16.399999999999999</v>
      </c>
      <c r="AD159" s="2">
        <f t="shared" si="2"/>
        <v>18.399999999999999</v>
      </c>
      <c r="AE159" s="2">
        <f t="shared" si="3"/>
        <v>14.399999999999999</v>
      </c>
      <c r="AI159" s="280" t="s">
        <v>23</v>
      </c>
      <c r="AK159" s="2"/>
      <c r="AN159" s="420" t="s">
        <v>3070</v>
      </c>
      <c r="AO159" s="388" t="s">
        <v>2898</v>
      </c>
      <c r="AP159" s="3" t="s">
        <v>2886</v>
      </c>
      <c r="AQ159" s="3" t="s">
        <v>2715</v>
      </c>
      <c r="AR159" s="186">
        <v>44070</v>
      </c>
      <c r="AS159" s="3" t="s">
        <v>2715</v>
      </c>
      <c r="AT159" s="186">
        <v>44112</v>
      </c>
      <c r="AU159" s="1107" t="s">
        <v>37</v>
      </c>
    </row>
    <row r="160" spans="1:47" ht="77.25" x14ac:dyDescent="0.25">
      <c r="A160" s="488"/>
      <c r="B160" s="486"/>
      <c r="C160" s="407"/>
      <c r="D160" s="572"/>
      <c r="E160" s="572"/>
      <c r="F160" s="407"/>
      <c r="G160" s="407"/>
      <c r="H160" s="541"/>
      <c r="I160" s="121"/>
      <c r="J160" s="188">
        <v>3052</v>
      </c>
      <c r="K160" s="547" t="s">
        <v>2945</v>
      </c>
      <c r="L160" s="926">
        <v>1424229.78</v>
      </c>
      <c r="M160" s="926">
        <v>5138693.1273999996</v>
      </c>
      <c r="N160" s="541"/>
      <c r="O160" s="541" t="s">
        <v>2946</v>
      </c>
      <c r="P160" s="408" t="s">
        <v>2047</v>
      </c>
      <c r="Q160" s="541">
        <v>0.3</v>
      </c>
      <c r="R160" s="541">
        <v>2.2000000000000002</v>
      </c>
      <c r="S160" s="541"/>
      <c r="T160" s="601" t="s">
        <v>2946</v>
      </c>
      <c r="U160" s="102" t="s">
        <v>10</v>
      </c>
      <c r="V160" s="2" t="s">
        <v>16</v>
      </c>
      <c r="W160" s="2" t="s">
        <v>16</v>
      </c>
      <c r="X160" s="2" t="s">
        <v>345</v>
      </c>
      <c r="Y160" s="2" t="s">
        <v>2947</v>
      </c>
      <c r="Z160" s="388" t="s">
        <v>289</v>
      </c>
      <c r="AA160" s="2">
        <v>1</v>
      </c>
      <c r="AB160" s="2" t="s">
        <v>2897</v>
      </c>
      <c r="AC160" s="2">
        <v>16.399999999999999</v>
      </c>
      <c r="AD160" s="2">
        <f t="shared" si="2"/>
        <v>18.399999999999999</v>
      </c>
      <c r="AE160" s="2">
        <f t="shared" si="3"/>
        <v>14.399999999999999</v>
      </c>
      <c r="AI160" s="280" t="s">
        <v>23</v>
      </c>
      <c r="AK160" s="2"/>
      <c r="AN160" s="420" t="s">
        <v>3070</v>
      </c>
      <c r="AO160" s="388" t="s">
        <v>2898</v>
      </c>
      <c r="AP160" s="3" t="s">
        <v>2886</v>
      </c>
      <c r="AQ160" s="3" t="s">
        <v>2715</v>
      </c>
      <c r="AR160" s="186">
        <v>44070</v>
      </c>
      <c r="AS160" s="3" t="s">
        <v>2715</v>
      </c>
      <c r="AT160" s="186">
        <v>44112</v>
      </c>
      <c r="AU160" s="1107" t="s">
        <v>37</v>
      </c>
    </row>
    <row r="161" spans="1:47" ht="77.25" x14ac:dyDescent="0.25">
      <c r="A161" s="488"/>
      <c r="B161" s="486"/>
      <c r="C161" s="407"/>
      <c r="D161" s="572"/>
      <c r="E161" s="572"/>
      <c r="F161" s="407"/>
      <c r="G161" s="407"/>
      <c r="H161" s="541"/>
      <c r="I161" s="121"/>
      <c r="J161" s="188">
        <v>3053</v>
      </c>
      <c r="K161" s="547" t="s">
        <v>2948</v>
      </c>
      <c r="L161" s="926">
        <v>1424267.6883</v>
      </c>
      <c r="M161" s="926">
        <v>5138709.7218000004</v>
      </c>
      <c r="N161" s="541"/>
      <c r="O161" s="541" t="s">
        <v>2949</v>
      </c>
      <c r="P161" s="408" t="s">
        <v>2047</v>
      </c>
      <c r="Q161" s="541">
        <v>0.33</v>
      </c>
      <c r="R161" s="541">
        <v>1.1100000000000001</v>
      </c>
      <c r="S161" s="541"/>
      <c r="T161" s="601" t="s">
        <v>2949</v>
      </c>
      <c r="U161" s="102" t="s">
        <v>10</v>
      </c>
      <c r="V161" s="2" t="s">
        <v>16</v>
      </c>
      <c r="W161" s="2" t="s">
        <v>16</v>
      </c>
      <c r="X161" s="2" t="s">
        <v>345</v>
      </c>
      <c r="Y161" s="2" t="s">
        <v>2950</v>
      </c>
      <c r="Z161" s="388" t="s">
        <v>289</v>
      </c>
      <c r="AA161" s="2">
        <v>1</v>
      </c>
      <c r="AB161" s="2" t="s">
        <v>2897</v>
      </c>
      <c r="AC161" s="2">
        <v>16.399999999999999</v>
      </c>
      <c r="AD161" s="2">
        <f t="shared" si="2"/>
        <v>18.399999999999999</v>
      </c>
      <c r="AE161" s="2">
        <f t="shared" si="3"/>
        <v>14.399999999999999</v>
      </c>
      <c r="AI161" s="280" t="s">
        <v>23</v>
      </c>
      <c r="AK161" s="2"/>
      <c r="AN161" s="420" t="s">
        <v>3070</v>
      </c>
      <c r="AO161" s="388" t="s">
        <v>2898</v>
      </c>
      <c r="AP161" s="3" t="s">
        <v>2886</v>
      </c>
      <c r="AQ161" s="3" t="s">
        <v>2715</v>
      </c>
      <c r="AR161" s="186">
        <v>44070</v>
      </c>
      <c r="AS161" s="3" t="s">
        <v>2715</v>
      </c>
      <c r="AT161" s="186">
        <v>44112</v>
      </c>
      <c r="AU161" s="1107" t="s">
        <v>37</v>
      </c>
    </row>
    <row r="162" spans="1:47" ht="90" x14ac:dyDescent="0.25">
      <c r="A162" s="488"/>
      <c r="B162" s="486"/>
      <c r="C162" s="407"/>
      <c r="D162" s="572"/>
      <c r="E162" s="572"/>
      <c r="F162" s="407"/>
      <c r="G162" s="407"/>
      <c r="H162" s="541"/>
      <c r="I162" s="121"/>
      <c r="J162" s="188">
        <v>3054</v>
      </c>
      <c r="K162" s="547" t="s">
        <v>2951</v>
      </c>
      <c r="L162" s="926">
        <v>1425119.0199</v>
      </c>
      <c r="M162" s="926">
        <v>5139128.6876999997</v>
      </c>
      <c r="N162" s="541"/>
      <c r="O162" s="541" t="s">
        <v>2952</v>
      </c>
      <c r="P162" s="408" t="s">
        <v>2047</v>
      </c>
      <c r="Q162" s="541">
        <v>0.54</v>
      </c>
      <c r="R162" s="541">
        <v>1.27</v>
      </c>
      <c r="S162" s="541"/>
      <c r="T162" s="601" t="s">
        <v>2952</v>
      </c>
      <c r="U162" s="102" t="s">
        <v>10</v>
      </c>
      <c r="V162" s="2" t="s">
        <v>16</v>
      </c>
      <c r="W162" s="2" t="s">
        <v>16</v>
      </c>
      <c r="X162" s="2" t="s">
        <v>345</v>
      </c>
      <c r="Y162" s="6" t="s">
        <v>6793</v>
      </c>
      <c r="Z162" s="388" t="s">
        <v>289</v>
      </c>
      <c r="AA162" s="2">
        <v>2</v>
      </c>
      <c r="AB162" s="2" t="s">
        <v>2897</v>
      </c>
      <c r="AC162" s="2">
        <v>16.399999999999999</v>
      </c>
      <c r="AD162" s="2">
        <f t="shared" si="2"/>
        <v>18.399999999999999</v>
      </c>
      <c r="AE162" s="2">
        <f t="shared" si="3"/>
        <v>14.399999999999999</v>
      </c>
      <c r="AI162" s="280" t="s">
        <v>23</v>
      </c>
      <c r="AK162" s="2"/>
      <c r="AN162" s="420" t="s">
        <v>3074</v>
      </c>
      <c r="AO162" s="388" t="s">
        <v>2898</v>
      </c>
      <c r="AP162" s="3" t="s">
        <v>2886</v>
      </c>
      <c r="AQ162" s="3" t="s">
        <v>2715</v>
      </c>
      <c r="AR162" s="186">
        <v>44070</v>
      </c>
      <c r="AS162" s="3" t="s">
        <v>2715</v>
      </c>
      <c r="AT162" s="186">
        <v>44112</v>
      </c>
      <c r="AU162" s="1107" t="s">
        <v>37</v>
      </c>
    </row>
    <row r="163" spans="1:47" ht="77.25" x14ac:dyDescent="0.25">
      <c r="A163" s="488"/>
      <c r="B163" s="486"/>
      <c r="C163" s="407"/>
      <c r="D163" s="572"/>
      <c r="E163" s="572"/>
      <c r="F163" s="407"/>
      <c r="G163" s="407"/>
      <c r="H163" s="541"/>
      <c r="I163" s="121"/>
      <c r="J163" s="188">
        <v>3055</v>
      </c>
      <c r="K163" s="547" t="s">
        <v>2953</v>
      </c>
      <c r="L163" s="926">
        <v>1425180.7646000001</v>
      </c>
      <c r="M163" s="926">
        <v>5139254.6846000003</v>
      </c>
      <c r="N163" s="541"/>
      <c r="O163" s="541" t="s">
        <v>2954</v>
      </c>
      <c r="P163" s="408" t="s">
        <v>2047</v>
      </c>
      <c r="Q163" s="541">
        <v>0.73</v>
      </c>
      <c r="R163" s="541">
        <v>2.12</v>
      </c>
      <c r="S163" s="541"/>
      <c r="T163" s="601" t="s">
        <v>2954</v>
      </c>
      <c r="U163" s="102" t="s">
        <v>10</v>
      </c>
      <c r="V163" s="2" t="s">
        <v>16</v>
      </c>
      <c r="W163" s="2" t="s">
        <v>16</v>
      </c>
      <c r="X163" s="2" t="s">
        <v>345</v>
      </c>
      <c r="Y163" s="2" t="s">
        <v>2955</v>
      </c>
      <c r="Z163" s="388" t="s">
        <v>289</v>
      </c>
      <c r="AA163" s="2">
        <v>2</v>
      </c>
      <c r="AB163" s="2" t="s">
        <v>2897</v>
      </c>
      <c r="AC163" s="2">
        <v>16.399999999999999</v>
      </c>
      <c r="AD163" s="2">
        <f t="shared" si="2"/>
        <v>18.399999999999999</v>
      </c>
      <c r="AE163" s="2">
        <f t="shared" si="3"/>
        <v>14.399999999999999</v>
      </c>
      <c r="AI163" s="280" t="s">
        <v>23</v>
      </c>
      <c r="AK163" s="2"/>
      <c r="AN163" s="420" t="s">
        <v>3073</v>
      </c>
      <c r="AO163" s="388" t="s">
        <v>2898</v>
      </c>
      <c r="AP163" s="3" t="s">
        <v>2886</v>
      </c>
      <c r="AQ163" s="3" t="s">
        <v>2715</v>
      </c>
      <c r="AR163" s="186">
        <v>44070</v>
      </c>
      <c r="AS163" s="3" t="s">
        <v>2715</v>
      </c>
      <c r="AT163" s="186">
        <v>44112</v>
      </c>
      <c r="AU163" s="1107" t="s">
        <v>37</v>
      </c>
    </row>
    <row r="164" spans="1:47" ht="77.25" x14ac:dyDescent="0.25">
      <c r="A164" s="488"/>
      <c r="B164" s="486"/>
      <c r="C164" s="407"/>
      <c r="D164" s="572"/>
      <c r="E164" s="572"/>
      <c r="F164" s="407"/>
      <c r="G164" s="407"/>
      <c r="H164" s="541"/>
      <c r="I164" s="121"/>
      <c r="J164" s="188">
        <v>3056</v>
      </c>
      <c r="K164" s="547" t="s">
        <v>2956</v>
      </c>
      <c r="L164" s="926">
        <v>1425271.7620999999</v>
      </c>
      <c r="M164" s="926">
        <v>5139364.1409</v>
      </c>
      <c r="N164" s="541"/>
      <c r="O164" s="541" t="s">
        <v>2957</v>
      </c>
      <c r="P164" s="408" t="s">
        <v>2047</v>
      </c>
      <c r="Q164" s="541">
        <v>0.72</v>
      </c>
      <c r="R164" s="541">
        <v>1.31</v>
      </c>
      <c r="S164" s="541"/>
      <c r="T164" s="601" t="s">
        <v>2957</v>
      </c>
      <c r="U164" s="102" t="s">
        <v>10</v>
      </c>
      <c r="V164" s="2" t="s">
        <v>16</v>
      </c>
      <c r="W164" s="2" t="s">
        <v>16</v>
      </c>
      <c r="X164" s="2" t="s">
        <v>345</v>
      </c>
      <c r="Y164" s="2" t="s">
        <v>2958</v>
      </c>
      <c r="Z164" s="388" t="s">
        <v>289</v>
      </c>
      <c r="AA164" s="2">
        <v>1</v>
      </c>
      <c r="AB164" s="2" t="s">
        <v>2897</v>
      </c>
      <c r="AC164" s="2">
        <v>16.399999999999999</v>
      </c>
      <c r="AD164" s="2">
        <f t="shared" si="2"/>
        <v>18.399999999999999</v>
      </c>
      <c r="AE164" s="2">
        <f t="shared" si="3"/>
        <v>14.399999999999999</v>
      </c>
      <c r="AI164" s="280" t="s">
        <v>23</v>
      </c>
      <c r="AK164" s="2"/>
      <c r="AN164" s="420" t="s">
        <v>3070</v>
      </c>
      <c r="AO164" s="388" t="s">
        <v>2898</v>
      </c>
      <c r="AP164" s="3" t="s">
        <v>2886</v>
      </c>
      <c r="AQ164" s="3" t="s">
        <v>2715</v>
      </c>
      <c r="AR164" s="186">
        <v>44070</v>
      </c>
      <c r="AS164" s="3" t="s">
        <v>2715</v>
      </c>
      <c r="AT164" s="186">
        <v>44112</v>
      </c>
      <c r="AU164" s="1107" t="s">
        <v>37</v>
      </c>
    </row>
    <row r="165" spans="1:47" ht="77.25" x14ac:dyDescent="0.25">
      <c r="A165" s="488"/>
      <c r="B165" s="486"/>
      <c r="C165" s="407"/>
      <c r="D165" s="572"/>
      <c r="E165" s="572"/>
      <c r="F165" s="407"/>
      <c r="G165" s="407"/>
      <c r="H165" s="541"/>
      <c r="I165" s="121"/>
      <c r="J165" s="188">
        <v>3057</v>
      </c>
      <c r="K165" s="547" t="s">
        <v>2959</v>
      </c>
      <c r="L165" s="926">
        <v>1426065.6036</v>
      </c>
      <c r="M165" s="926">
        <v>5142613.5118000004</v>
      </c>
      <c r="N165" s="541"/>
      <c r="O165" s="541" t="s">
        <v>2960</v>
      </c>
      <c r="P165" s="408" t="s">
        <v>2047</v>
      </c>
      <c r="Q165" s="541">
        <v>0.4</v>
      </c>
      <c r="R165" s="541">
        <v>0.78</v>
      </c>
      <c r="S165" s="541"/>
      <c r="T165" s="601" t="s">
        <v>2960</v>
      </c>
      <c r="U165" s="102" t="s">
        <v>10</v>
      </c>
      <c r="V165" s="2" t="s">
        <v>16</v>
      </c>
      <c r="W165" s="2" t="s">
        <v>16</v>
      </c>
      <c r="X165" s="2" t="s">
        <v>345</v>
      </c>
      <c r="Y165" s="2" t="s">
        <v>2961</v>
      </c>
      <c r="Z165" s="388" t="s">
        <v>2962</v>
      </c>
      <c r="AA165" s="2">
        <v>1</v>
      </c>
      <c r="AB165" s="2" t="s">
        <v>2897</v>
      </c>
      <c r="AC165" s="2">
        <v>16.399999999999999</v>
      </c>
      <c r="AD165" s="2">
        <f t="shared" si="2"/>
        <v>18.399999999999999</v>
      </c>
      <c r="AE165" s="2">
        <f t="shared" si="3"/>
        <v>14.399999999999999</v>
      </c>
      <c r="AI165" s="280" t="s">
        <v>23</v>
      </c>
      <c r="AK165" s="2"/>
      <c r="AN165" s="420" t="s">
        <v>3070</v>
      </c>
      <c r="AO165" s="388" t="s">
        <v>2898</v>
      </c>
      <c r="AP165" s="3" t="s">
        <v>2886</v>
      </c>
      <c r="AQ165" s="3" t="s">
        <v>2715</v>
      </c>
      <c r="AR165" s="186">
        <v>44070</v>
      </c>
      <c r="AS165" s="3" t="s">
        <v>2715</v>
      </c>
      <c r="AT165" s="186">
        <v>44112</v>
      </c>
      <c r="AU165" s="1107" t="s">
        <v>37</v>
      </c>
    </row>
    <row r="166" spans="1:47" ht="77.25" x14ac:dyDescent="0.25">
      <c r="A166" s="488"/>
      <c r="B166" s="486"/>
      <c r="C166" s="407"/>
      <c r="D166" s="572"/>
      <c r="E166" s="572"/>
      <c r="F166" s="407"/>
      <c r="G166" s="407"/>
      <c r="H166" s="541"/>
      <c r="I166" s="121"/>
      <c r="J166" s="188">
        <v>3058</v>
      </c>
      <c r="K166" s="547" t="s">
        <v>2963</v>
      </c>
      <c r="L166" s="926">
        <v>1426137.4563</v>
      </c>
      <c r="M166" s="926">
        <v>5142846.3536</v>
      </c>
      <c r="N166" s="541"/>
      <c r="O166" s="541" t="s">
        <v>2964</v>
      </c>
      <c r="P166" s="408" t="s">
        <v>2047</v>
      </c>
      <c r="Q166" s="541">
        <v>0.5</v>
      </c>
      <c r="R166" s="541">
        <v>0.88</v>
      </c>
      <c r="S166" s="541"/>
      <c r="T166" s="601" t="s">
        <v>2964</v>
      </c>
      <c r="U166" s="102" t="s">
        <v>10</v>
      </c>
      <c r="V166" s="2" t="s">
        <v>16</v>
      </c>
      <c r="W166" s="2" t="s">
        <v>16</v>
      </c>
      <c r="X166" s="2" t="s">
        <v>345</v>
      </c>
      <c r="Y166" s="2" t="s">
        <v>2965</v>
      </c>
      <c r="Z166" s="388" t="s">
        <v>2962</v>
      </c>
      <c r="AA166" s="2">
        <v>2</v>
      </c>
      <c r="AB166" s="2" t="s">
        <v>2897</v>
      </c>
      <c r="AC166" s="2">
        <v>16.399999999999999</v>
      </c>
      <c r="AD166" s="2">
        <f t="shared" si="2"/>
        <v>18.399999999999999</v>
      </c>
      <c r="AE166" s="2">
        <f t="shared" si="3"/>
        <v>14.399999999999999</v>
      </c>
      <c r="AI166" s="280" t="s">
        <v>23</v>
      </c>
      <c r="AK166" s="2"/>
      <c r="AN166" s="420" t="s">
        <v>3073</v>
      </c>
      <c r="AO166" s="388" t="s">
        <v>2898</v>
      </c>
      <c r="AP166" s="3" t="s">
        <v>2886</v>
      </c>
      <c r="AQ166" s="3" t="s">
        <v>2715</v>
      </c>
      <c r="AR166" s="186">
        <v>44070</v>
      </c>
      <c r="AS166" s="3" t="s">
        <v>2715</v>
      </c>
      <c r="AT166" s="186">
        <v>44112</v>
      </c>
      <c r="AU166" s="1107" t="s">
        <v>37</v>
      </c>
    </row>
    <row r="167" spans="1:47" ht="77.25" x14ac:dyDescent="0.25">
      <c r="A167" s="488"/>
      <c r="B167" s="486"/>
      <c r="C167" s="407"/>
      <c r="D167" s="572"/>
      <c r="E167" s="572"/>
      <c r="F167" s="407"/>
      <c r="G167" s="407"/>
      <c r="H167" s="541"/>
      <c r="I167" s="121"/>
      <c r="J167" s="188">
        <v>3061</v>
      </c>
      <c r="K167" s="547" t="s">
        <v>2972</v>
      </c>
      <c r="L167" s="926">
        <v>1418553.6862000001</v>
      </c>
      <c r="M167" s="926">
        <v>5127312.5602000002</v>
      </c>
      <c r="N167" s="541"/>
      <c r="O167" s="541" t="s">
        <v>2973</v>
      </c>
      <c r="P167" s="408" t="s">
        <v>2047</v>
      </c>
      <c r="Q167" s="541">
        <v>1.2</v>
      </c>
      <c r="R167" s="541">
        <v>3.1</v>
      </c>
      <c r="S167" s="541"/>
      <c r="T167" s="601" t="s">
        <v>2973</v>
      </c>
      <c r="U167" s="102" t="s">
        <v>10</v>
      </c>
      <c r="V167" s="2" t="s">
        <v>16</v>
      </c>
      <c r="W167" s="2" t="s">
        <v>16</v>
      </c>
      <c r="X167" s="2" t="s">
        <v>345</v>
      </c>
      <c r="Y167" s="2">
        <v>121.9</v>
      </c>
      <c r="Z167" s="388" t="s">
        <v>2882</v>
      </c>
      <c r="AA167" s="2">
        <v>1</v>
      </c>
      <c r="AB167" s="2" t="s">
        <v>2974</v>
      </c>
      <c r="AC167" s="2">
        <v>72</v>
      </c>
      <c r="AD167" s="2">
        <f>AC167+25</f>
        <v>97</v>
      </c>
      <c r="AE167" s="2">
        <f>AC167-32</f>
        <v>40</v>
      </c>
      <c r="AI167" s="280" t="s">
        <v>2891</v>
      </c>
      <c r="AK167" s="2"/>
      <c r="AN167" s="420" t="s">
        <v>3063</v>
      </c>
      <c r="AO167" s="280" t="s">
        <v>2975</v>
      </c>
      <c r="AP167" s="3" t="s">
        <v>2886</v>
      </c>
      <c r="AQ167" s="3" t="s">
        <v>2715</v>
      </c>
      <c r="AR167" s="186">
        <v>44070</v>
      </c>
      <c r="AS167" s="3" t="s">
        <v>2715</v>
      </c>
      <c r="AT167" s="186">
        <v>44112</v>
      </c>
      <c r="AU167" s="1107" t="s">
        <v>37</v>
      </c>
    </row>
    <row r="168" spans="1:47" ht="77.25" x14ac:dyDescent="0.25">
      <c r="A168" s="488"/>
      <c r="B168" s="486"/>
      <c r="C168" s="407"/>
      <c r="D168" s="572"/>
      <c r="E168" s="572"/>
      <c r="F168" s="407"/>
      <c r="G168" s="407"/>
      <c r="H168" s="541"/>
      <c r="I168" s="121"/>
      <c r="J168" s="188">
        <v>3062</v>
      </c>
      <c r="K168" s="547" t="s">
        <v>2976</v>
      </c>
      <c r="L168" s="926">
        <v>1425619.8078999999</v>
      </c>
      <c r="M168" s="926">
        <v>5140462.6426999997</v>
      </c>
      <c r="N168" s="541"/>
      <c r="O168" s="541" t="s">
        <v>2977</v>
      </c>
      <c r="P168" s="408" t="s">
        <v>2047</v>
      </c>
      <c r="Q168" s="541">
        <v>0.7</v>
      </c>
      <c r="R168" s="541">
        <v>1.5</v>
      </c>
      <c r="S168" s="541"/>
      <c r="T168" s="601" t="s">
        <v>2977</v>
      </c>
      <c r="U168" s="102" t="s">
        <v>10</v>
      </c>
      <c r="V168" s="2" t="s">
        <v>16</v>
      </c>
      <c r="W168" s="2" t="s">
        <v>16</v>
      </c>
      <c r="X168" s="2" t="s">
        <v>345</v>
      </c>
      <c r="Y168" s="2" t="s">
        <v>2978</v>
      </c>
      <c r="Z168" s="388" t="s">
        <v>289</v>
      </c>
      <c r="AA168" s="2">
        <v>1</v>
      </c>
      <c r="AB168" s="2" t="s">
        <v>2897</v>
      </c>
      <c r="AC168" s="2">
        <v>16.399999999999999</v>
      </c>
      <c r="AD168" s="2">
        <f>AC168+2</f>
        <v>18.399999999999999</v>
      </c>
      <c r="AE168" s="2">
        <f>AC168-2</f>
        <v>14.399999999999999</v>
      </c>
      <c r="AI168" s="280" t="s">
        <v>23</v>
      </c>
      <c r="AK168" s="2"/>
      <c r="AN168" s="420" t="s">
        <v>3079</v>
      </c>
      <c r="AO168" s="388" t="s">
        <v>2898</v>
      </c>
      <c r="AP168" s="3" t="s">
        <v>2886</v>
      </c>
      <c r="AQ168" s="3" t="s">
        <v>2715</v>
      </c>
      <c r="AR168" s="186">
        <v>44070</v>
      </c>
      <c r="AS168" s="3" t="s">
        <v>2715</v>
      </c>
      <c r="AT168" s="186">
        <v>44112</v>
      </c>
      <c r="AU168" s="1107" t="s">
        <v>37</v>
      </c>
    </row>
    <row r="169" spans="1:47" ht="77.25" x14ac:dyDescent="0.25">
      <c r="A169" s="488"/>
      <c r="B169" s="486"/>
      <c r="C169" s="407"/>
      <c r="D169" s="572"/>
      <c r="E169" s="572"/>
      <c r="F169" s="407"/>
      <c r="G169" s="407"/>
      <c r="H169" s="541"/>
      <c r="I169" s="121"/>
      <c r="J169" s="188">
        <v>3063</v>
      </c>
      <c r="K169" s="547" t="s">
        <v>2979</v>
      </c>
      <c r="L169" s="926">
        <v>1421492.2930000001</v>
      </c>
      <c r="M169" s="926">
        <v>5132421.2374</v>
      </c>
      <c r="N169" s="541"/>
      <c r="O169" s="541" t="s">
        <v>2980</v>
      </c>
      <c r="P169" s="408" t="s">
        <v>2047</v>
      </c>
      <c r="Q169" s="541">
        <v>0.14000000000000001</v>
      </c>
      <c r="R169" s="541">
        <v>0.48</v>
      </c>
      <c r="S169" s="541"/>
      <c r="T169" s="601" t="s">
        <v>2980</v>
      </c>
      <c r="U169" s="102" t="s">
        <v>10</v>
      </c>
      <c r="V169" s="2" t="s">
        <v>16</v>
      </c>
      <c r="W169" s="2" t="s">
        <v>16</v>
      </c>
      <c r="X169" s="2" t="s">
        <v>345</v>
      </c>
      <c r="Y169" s="2" t="s">
        <v>2981</v>
      </c>
      <c r="Z169" s="388" t="s">
        <v>289</v>
      </c>
      <c r="AA169" s="2">
        <v>2</v>
      </c>
      <c r="AB169" s="2" t="s">
        <v>2974</v>
      </c>
      <c r="AC169" s="2">
        <v>72</v>
      </c>
      <c r="AD169" s="2">
        <f>AC169+25</f>
        <v>97</v>
      </c>
      <c r="AE169" s="2">
        <f>AC169-32</f>
        <v>40</v>
      </c>
      <c r="AI169" s="280" t="s">
        <v>2891</v>
      </c>
      <c r="AK169" s="2"/>
      <c r="AN169" s="420" t="s">
        <v>3076</v>
      </c>
      <c r="AO169" s="280" t="s">
        <v>2975</v>
      </c>
      <c r="AP169" s="3" t="s">
        <v>2886</v>
      </c>
      <c r="AQ169" s="3" t="s">
        <v>2715</v>
      </c>
      <c r="AR169" s="186">
        <v>44070</v>
      </c>
      <c r="AS169" s="3" t="s">
        <v>2715</v>
      </c>
      <c r="AT169" s="186">
        <v>44112</v>
      </c>
      <c r="AU169" s="1107" t="s">
        <v>37</v>
      </c>
    </row>
    <row r="170" spans="1:47" ht="77.25" x14ac:dyDescent="0.25">
      <c r="A170" s="488"/>
      <c r="B170" s="486"/>
      <c r="C170" s="407"/>
      <c r="D170" s="572"/>
      <c r="E170" s="572"/>
      <c r="F170" s="407"/>
      <c r="G170" s="407"/>
      <c r="H170" s="541"/>
      <c r="I170" s="121"/>
      <c r="J170" s="188">
        <v>3064</v>
      </c>
      <c r="K170" s="547" t="s">
        <v>2982</v>
      </c>
      <c r="L170" s="926">
        <v>1421716.8548999999</v>
      </c>
      <c r="M170" s="926">
        <v>5132974.9134</v>
      </c>
      <c r="N170" s="541"/>
      <c r="O170" s="541" t="s">
        <v>2983</v>
      </c>
      <c r="P170" s="408" t="s">
        <v>2047</v>
      </c>
      <c r="Q170" s="541">
        <v>0.4</v>
      </c>
      <c r="R170" s="541">
        <v>0.61</v>
      </c>
      <c r="S170" s="541"/>
      <c r="T170" s="601" t="s">
        <v>2983</v>
      </c>
      <c r="U170" s="102" t="s">
        <v>10</v>
      </c>
      <c r="V170" s="2" t="s">
        <v>16</v>
      </c>
      <c r="W170" s="2" t="s">
        <v>16</v>
      </c>
      <c r="X170" s="2" t="s">
        <v>345</v>
      </c>
      <c r="Y170" s="2" t="s">
        <v>2984</v>
      </c>
      <c r="Z170" s="388" t="s">
        <v>289</v>
      </c>
      <c r="AA170" s="2">
        <v>1</v>
      </c>
      <c r="AB170" s="2" t="s">
        <v>2897</v>
      </c>
      <c r="AC170" s="2">
        <v>16.399999999999999</v>
      </c>
      <c r="AD170" s="2">
        <f>AC170+2</f>
        <v>18.399999999999999</v>
      </c>
      <c r="AE170" s="2">
        <f>AC170-2</f>
        <v>14.399999999999999</v>
      </c>
      <c r="AI170" s="280" t="s">
        <v>23</v>
      </c>
      <c r="AK170" s="2"/>
      <c r="AN170" s="420" t="s">
        <v>3076</v>
      </c>
      <c r="AO170" s="388" t="s">
        <v>2898</v>
      </c>
      <c r="AP170" s="3" t="s">
        <v>2886</v>
      </c>
      <c r="AQ170" s="3" t="s">
        <v>2715</v>
      </c>
      <c r="AR170" s="186">
        <v>44070</v>
      </c>
      <c r="AS170" s="3" t="s">
        <v>2715</v>
      </c>
      <c r="AT170" s="186">
        <v>44112</v>
      </c>
      <c r="AU170" s="1107" t="s">
        <v>37</v>
      </c>
    </row>
    <row r="171" spans="1:47" ht="77.25" x14ac:dyDescent="0.25">
      <c r="A171" s="488"/>
      <c r="B171" s="486"/>
      <c r="C171" s="407"/>
      <c r="D171" s="572"/>
      <c r="E171" s="572"/>
      <c r="F171" s="407"/>
      <c r="G171" s="407"/>
      <c r="H171" s="541"/>
      <c r="I171" s="121"/>
      <c r="J171" s="188">
        <v>3065</v>
      </c>
      <c r="K171" s="547" t="s">
        <v>2985</v>
      </c>
      <c r="L171" s="926">
        <v>1421987.3134000001</v>
      </c>
      <c r="M171" s="926">
        <v>5133717.9077000003</v>
      </c>
      <c r="N171" s="541"/>
      <c r="O171" s="541" t="s">
        <v>2986</v>
      </c>
      <c r="P171" s="408" t="s">
        <v>2047</v>
      </c>
      <c r="Q171" s="541">
        <v>0.08</v>
      </c>
      <c r="R171" s="541">
        <v>0.16</v>
      </c>
      <c r="S171" s="541"/>
      <c r="T171" s="601" t="s">
        <v>2986</v>
      </c>
      <c r="U171" s="102" t="s">
        <v>10</v>
      </c>
      <c r="V171" s="2" t="s">
        <v>16</v>
      </c>
      <c r="W171" s="2" t="s">
        <v>16</v>
      </c>
      <c r="X171" s="2" t="s">
        <v>345</v>
      </c>
      <c r="Y171" s="2" t="s">
        <v>2987</v>
      </c>
      <c r="Z171" s="388" t="s">
        <v>289</v>
      </c>
      <c r="AA171" s="2">
        <v>1</v>
      </c>
      <c r="AB171" s="2" t="s">
        <v>2897</v>
      </c>
      <c r="AC171" s="2">
        <v>16.399999999999999</v>
      </c>
      <c r="AD171" s="2">
        <f>AC171+2</f>
        <v>18.399999999999999</v>
      </c>
      <c r="AE171" s="2">
        <f>AC171-2</f>
        <v>14.399999999999999</v>
      </c>
      <c r="AI171" s="280" t="s">
        <v>23</v>
      </c>
      <c r="AK171" s="2"/>
      <c r="AN171" s="420" t="s">
        <v>3076</v>
      </c>
      <c r="AO171" s="388" t="s">
        <v>2898</v>
      </c>
      <c r="AP171" s="3" t="s">
        <v>2886</v>
      </c>
      <c r="AQ171" s="3" t="s">
        <v>2715</v>
      </c>
      <c r="AR171" s="186">
        <v>44070</v>
      </c>
      <c r="AS171" s="3" t="s">
        <v>2715</v>
      </c>
      <c r="AT171" s="186">
        <v>44112</v>
      </c>
      <c r="AU171" s="1107" t="s">
        <v>37</v>
      </c>
    </row>
    <row r="172" spans="1:47" ht="77.25" x14ac:dyDescent="0.25">
      <c r="A172" s="488"/>
      <c r="B172" s="486"/>
      <c r="C172" s="407"/>
      <c r="D172" s="572"/>
      <c r="E172" s="572"/>
      <c r="F172" s="407"/>
      <c r="G172" s="407"/>
      <c r="H172" s="541"/>
      <c r="I172" s="121"/>
      <c r="J172" s="188">
        <v>3066</v>
      </c>
      <c r="K172" s="547" t="s">
        <v>2988</v>
      </c>
      <c r="L172" s="926">
        <v>1422093.8325</v>
      </c>
      <c r="M172" s="926">
        <v>5134171.9435999999</v>
      </c>
      <c r="N172" s="541"/>
      <c r="O172" s="541" t="s">
        <v>2989</v>
      </c>
      <c r="P172" s="408" t="s">
        <v>2047</v>
      </c>
      <c r="Q172" s="541">
        <v>0.01</v>
      </c>
      <c r="R172" s="541">
        <v>0.11</v>
      </c>
      <c r="S172" s="541"/>
      <c r="T172" s="601" t="s">
        <v>2989</v>
      </c>
      <c r="U172" s="102" t="s">
        <v>10</v>
      </c>
      <c r="V172" s="2" t="s">
        <v>16</v>
      </c>
      <c r="W172" s="2" t="s">
        <v>16</v>
      </c>
      <c r="X172" s="2" t="s">
        <v>345</v>
      </c>
      <c r="Y172" s="2" t="s">
        <v>2990</v>
      </c>
      <c r="Z172" s="388" t="s">
        <v>289</v>
      </c>
      <c r="AA172" s="2">
        <v>1</v>
      </c>
      <c r="AB172" s="2" t="s">
        <v>2991</v>
      </c>
      <c r="AC172" s="2">
        <v>48</v>
      </c>
      <c r="AD172" s="2">
        <f>AC172+32</f>
        <v>80</v>
      </c>
      <c r="AE172" s="2">
        <f>AC172-20</f>
        <v>28</v>
      </c>
      <c r="AI172" s="280" t="s">
        <v>2891</v>
      </c>
      <c r="AK172" s="2"/>
      <c r="AN172" s="420" t="s">
        <v>3076</v>
      </c>
      <c r="AO172" s="280" t="s">
        <v>2975</v>
      </c>
      <c r="AP172" s="3" t="s">
        <v>2886</v>
      </c>
      <c r="AQ172" s="3" t="s">
        <v>2715</v>
      </c>
      <c r="AR172" s="186">
        <v>44070</v>
      </c>
      <c r="AS172" s="3" t="s">
        <v>2715</v>
      </c>
      <c r="AT172" s="186">
        <v>44112</v>
      </c>
      <c r="AU172" s="1107" t="s">
        <v>37</v>
      </c>
    </row>
    <row r="173" spans="1:47" ht="77.25" x14ac:dyDescent="0.25">
      <c r="A173" s="488"/>
      <c r="B173" s="486"/>
      <c r="C173" s="407"/>
      <c r="D173" s="572"/>
      <c r="E173" s="572"/>
      <c r="F173" s="407"/>
      <c r="G173" s="407"/>
      <c r="H173" s="541"/>
      <c r="I173" s="121"/>
      <c r="J173" s="188">
        <v>3067</v>
      </c>
      <c r="K173" s="547" t="s">
        <v>2992</v>
      </c>
      <c r="L173" s="926">
        <v>1415121.0486999999</v>
      </c>
      <c r="M173" s="926">
        <v>5122268.2945999997</v>
      </c>
      <c r="N173" s="541"/>
      <c r="O173" s="541" t="s">
        <v>2993</v>
      </c>
      <c r="P173" s="408" t="s">
        <v>2047</v>
      </c>
      <c r="Q173" s="541">
        <v>0.39</v>
      </c>
      <c r="R173" s="541">
        <v>1.63</v>
      </c>
      <c r="S173" s="541"/>
      <c r="T173" s="601" t="s">
        <v>2993</v>
      </c>
      <c r="U173" s="102" t="s">
        <v>10</v>
      </c>
      <c r="V173" s="2" t="s">
        <v>16</v>
      </c>
      <c r="W173" s="2" t="s">
        <v>16</v>
      </c>
      <c r="X173" s="2" t="s">
        <v>345</v>
      </c>
      <c r="Y173" s="2" t="s">
        <v>2994</v>
      </c>
      <c r="Z173" s="388" t="s">
        <v>2882</v>
      </c>
      <c r="AA173" s="2">
        <v>1</v>
      </c>
      <c r="AB173" s="2" t="s">
        <v>2995</v>
      </c>
      <c r="AC173" s="2">
        <v>7.7</v>
      </c>
      <c r="AD173" s="2">
        <f>AC173+6.2</f>
        <v>13.9</v>
      </c>
      <c r="AE173" s="2">
        <f>AC173-4.1</f>
        <v>3.6000000000000005</v>
      </c>
      <c r="AI173" s="280" t="s">
        <v>2891</v>
      </c>
      <c r="AK173" s="2"/>
      <c r="AN173" s="420" t="s">
        <v>3063</v>
      </c>
      <c r="AO173" s="280" t="s">
        <v>2975</v>
      </c>
      <c r="AP173" s="3" t="s">
        <v>2886</v>
      </c>
      <c r="AQ173" s="3" t="s">
        <v>2715</v>
      </c>
      <c r="AR173" s="186">
        <v>44070</v>
      </c>
      <c r="AS173" s="3" t="s">
        <v>2715</v>
      </c>
      <c r="AT173" s="186">
        <v>44112</v>
      </c>
      <c r="AU173" s="1107" t="s">
        <v>37</v>
      </c>
    </row>
    <row r="174" spans="1:47" ht="90" x14ac:dyDescent="0.25">
      <c r="A174" s="488"/>
      <c r="B174" s="486"/>
      <c r="C174" s="407"/>
      <c r="D174" s="572"/>
      <c r="E174" s="572"/>
      <c r="F174" s="407"/>
      <c r="G174" s="407"/>
      <c r="H174" s="541"/>
      <c r="I174" s="121"/>
      <c r="J174" s="188">
        <v>3069</v>
      </c>
      <c r="K174" s="547" t="s">
        <v>2999</v>
      </c>
      <c r="L174" s="926">
        <v>1419854.4808</v>
      </c>
      <c r="M174" s="926">
        <v>5129650.3771000002</v>
      </c>
      <c r="N174" s="541"/>
      <c r="O174" s="306" t="s">
        <v>3000</v>
      </c>
      <c r="P174" s="408" t="s">
        <v>2047</v>
      </c>
      <c r="Q174" s="306">
        <v>0.05</v>
      </c>
      <c r="R174" s="306">
        <v>0.87</v>
      </c>
      <c r="S174" s="306"/>
      <c r="T174" s="305" t="s">
        <v>3000</v>
      </c>
      <c r="U174" s="415" t="s">
        <v>10</v>
      </c>
      <c r="V174" s="410" t="s">
        <v>85</v>
      </c>
      <c r="W174" s="410" t="s">
        <v>16</v>
      </c>
      <c r="X174" s="2" t="s">
        <v>345</v>
      </c>
      <c r="Y174" s="2" t="s">
        <v>3001</v>
      </c>
      <c r="Z174" s="388" t="s">
        <v>2882</v>
      </c>
      <c r="AA174" s="2">
        <v>1</v>
      </c>
      <c r="AB174" s="2" t="s">
        <v>3002</v>
      </c>
      <c r="AC174" s="2">
        <v>16.399999999999999</v>
      </c>
      <c r="AD174" s="2">
        <f>AC174+2</f>
        <v>18.399999999999999</v>
      </c>
      <c r="AE174" s="2">
        <f>AC174-2</f>
        <v>14.399999999999999</v>
      </c>
      <c r="AI174" s="280" t="s">
        <v>23</v>
      </c>
      <c r="AK174" s="2"/>
      <c r="AN174" s="420" t="s">
        <v>3067</v>
      </c>
      <c r="AO174" s="388" t="s">
        <v>2885</v>
      </c>
      <c r="AP174" s="3" t="s">
        <v>2886</v>
      </c>
      <c r="AQ174" s="3" t="s">
        <v>2715</v>
      </c>
      <c r="AR174" s="186">
        <v>44070</v>
      </c>
      <c r="AS174" s="3" t="s">
        <v>2715</v>
      </c>
      <c r="AT174" s="186">
        <v>44112</v>
      </c>
      <c r="AU174" s="1107" t="s">
        <v>37</v>
      </c>
    </row>
    <row r="175" spans="1:47" ht="90" x14ac:dyDescent="0.25">
      <c r="A175" s="488"/>
      <c r="B175" s="486"/>
      <c r="C175" s="407"/>
      <c r="D175" s="572"/>
      <c r="E175" s="572"/>
      <c r="F175" s="407"/>
      <c r="G175" s="407"/>
      <c r="H175" s="541"/>
      <c r="I175" s="121"/>
      <c r="J175" s="188">
        <v>3070</v>
      </c>
      <c r="K175" s="547" t="s">
        <v>3003</v>
      </c>
      <c r="L175" s="926">
        <v>1421882.1577000001</v>
      </c>
      <c r="M175" s="926">
        <v>5133060.2602000004</v>
      </c>
      <c r="N175" s="541"/>
      <c r="O175" s="306" t="s">
        <v>3004</v>
      </c>
      <c r="P175" s="408" t="s">
        <v>2047</v>
      </c>
      <c r="Q175" s="306">
        <v>0.51</v>
      </c>
      <c r="R175" s="306">
        <v>0.78</v>
      </c>
      <c r="S175" s="306"/>
      <c r="T175" s="305" t="s">
        <v>3004</v>
      </c>
      <c r="U175" s="415" t="s">
        <v>10</v>
      </c>
      <c r="V175" s="410" t="s">
        <v>85</v>
      </c>
      <c r="W175" s="410" t="s">
        <v>16</v>
      </c>
      <c r="X175" s="2" t="s">
        <v>345</v>
      </c>
      <c r="Y175" s="2" t="s">
        <v>3005</v>
      </c>
      <c r="Z175" s="388" t="s">
        <v>289</v>
      </c>
      <c r="AA175" s="2">
        <v>2</v>
      </c>
      <c r="AB175" s="2" t="s">
        <v>3006</v>
      </c>
      <c r="AC175" s="2">
        <v>24.8</v>
      </c>
      <c r="AD175" s="2">
        <f>AC175+2.7</f>
        <v>27.5</v>
      </c>
      <c r="AI175" s="280" t="s">
        <v>23</v>
      </c>
      <c r="AK175" s="2"/>
      <c r="AN175" s="420" t="s">
        <v>3077</v>
      </c>
      <c r="AO175" s="388" t="s">
        <v>2885</v>
      </c>
      <c r="AP175" s="3" t="s">
        <v>2886</v>
      </c>
      <c r="AQ175" s="3" t="s">
        <v>2715</v>
      </c>
      <c r="AR175" s="186">
        <v>44070</v>
      </c>
      <c r="AS175" s="3" t="s">
        <v>2715</v>
      </c>
      <c r="AT175" s="186">
        <v>44112</v>
      </c>
      <c r="AU175" s="1107" t="s">
        <v>37</v>
      </c>
    </row>
    <row r="176" spans="1:47" ht="77.25" x14ac:dyDescent="0.25">
      <c r="A176" s="488"/>
      <c r="B176" s="486"/>
      <c r="C176" s="407"/>
      <c r="D176" s="572"/>
      <c r="E176" s="572"/>
      <c r="F176" s="407"/>
      <c r="G176" s="407"/>
      <c r="H176" s="541"/>
      <c r="I176" s="121"/>
      <c r="J176" s="188">
        <v>3071</v>
      </c>
      <c r="K176" s="547" t="s">
        <v>3007</v>
      </c>
      <c r="L176" s="926">
        <v>1414819.0360999999</v>
      </c>
      <c r="M176" s="926">
        <v>5124945.8114999998</v>
      </c>
      <c r="N176" s="541"/>
      <c r="O176" s="306" t="s">
        <v>3008</v>
      </c>
      <c r="P176" s="408" t="s">
        <v>2047</v>
      </c>
      <c r="Q176" s="306">
        <v>0.64</v>
      </c>
      <c r="R176" s="306">
        <v>2.2999999999999998</v>
      </c>
      <c r="S176" s="306"/>
      <c r="T176" s="305" t="s">
        <v>3008</v>
      </c>
      <c r="U176" s="415" t="s">
        <v>10</v>
      </c>
      <c r="V176" s="410" t="s">
        <v>16</v>
      </c>
      <c r="W176" s="410" t="s">
        <v>16</v>
      </c>
      <c r="X176" s="2" t="s">
        <v>345</v>
      </c>
      <c r="Y176" s="2" t="s">
        <v>3009</v>
      </c>
      <c r="Z176" s="388" t="s">
        <v>2882</v>
      </c>
      <c r="AA176" s="2">
        <v>3</v>
      </c>
      <c r="AB176" s="2" t="s">
        <v>2991</v>
      </c>
      <c r="AC176" s="2">
        <v>48</v>
      </c>
      <c r="AD176" s="2">
        <f>AC176+32</f>
        <v>80</v>
      </c>
      <c r="AE176" s="2">
        <f>AC176-20</f>
        <v>28</v>
      </c>
      <c r="AI176" s="280" t="s">
        <v>2891</v>
      </c>
      <c r="AK176" s="2"/>
      <c r="AN176" s="420" t="s">
        <v>3080</v>
      </c>
      <c r="AO176" s="280" t="s">
        <v>2975</v>
      </c>
      <c r="AP176" s="3" t="s">
        <v>2886</v>
      </c>
      <c r="AQ176" s="3" t="s">
        <v>2715</v>
      </c>
      <c r="AR176" s="186">
        <v>44070</v>
      </c>
      <c r="AS176" s="3" t="s">
        <v>2715</v>
      </c>
      <c r="AT176" s="186">
        <v>44112</v>
      </c>
      <c r="AU176" s="1107" t="s">
        <v>37</v>
      </c>
    </row>
    <row r="177" spans="1:47" ht="90" x14ac:dyDescent="0.25">
      <c r="A177" s="488"/>
      <c r="B177" s="486"/>
      <c r="C177" s="407"/>
      <c r="D177" s="572"/>
      <c r="E177" s="572"/>
      <c r="F177" s="407"/>
      <c r="G177" s="407"/>
      <c r="H177" s="541"/>
      <c r="I177" s="121"/>
      <c r="J177" s="188">
        <v>3072</v>
      </c>
      <c r="K177" s="547" t="s">
        <v>3010</v>
      </c>
      <c r="L177" s="926">
        <v>1415784.6832999999</v>
      </c>
      <c r="M177" s="926">
        <v>5122999.7925000004</v>
      </c>
      <c r="N177" s="541"/>
      <c r="O177" s="306" t="s">
        <v>3011</v>
      </c>
      <c r="P177" s="408" t="s">
        <v>2047</v>
      </c>
      <c r="Q177" s="306">
        <v>0.51</v>
      </c>
      <c r="R177" s="306">
        <v>2.12</v>
      </c>
      <c r="S177" s="306"/>
      <c r="T177" s="305" t="s">
        <v>3011</v>
      </c>
      <c r="U177" s="415" t="s">
        <v>10</v>
      </c>
      <c r="V177" s="410" t="s">
        <v>16</v>
      </c>
      <c r="W177" s="410" t="s">
        <v>16</v>
      </c>
      <c r="X177" s="2" t="s">
        <v>345</v>
      </c>
      <c r="Y177" s="2" t="s">
        <v>3012</v>
      </c>
      <c r="Z177" s="388" t="s">
        <v>2882</v>
      </c>
      <c r="AA177" s="2">
        <v>3</v>
      </c>
      <c r="AB177" s="2" t="s">
        <v>3013</v>
      </c>
      <c r="AC177" s="2">
        <v>11.7</v>
      </c>
      <c r="AD177" s="2">
        <f>AC177+6.8</f>
        <v>18.5</v>
      </c>
      <c r="AE177" s="2">
        <f>AC177-5.5</f>
        <v>6.1999999999999993</v>
      </c>
      <c r="AI177" s="280" t="s">
        <v>2891</v>
      </c>
      <c r="AK177" s="2"/>
      <c r="AN177" s="420" t="s">
        <v>3064</v>
      </c>
      <c r="AO177" s="280" t="s">
        <v>2975</v>
      </c>
      <c r="AP177" s="3" t="s">
        <v>2886</v>
      </c>
      <c r="AQ177" s="3" t="s">
        <v>2715</v>
      </c>
      <c r="AR177" s="186">
        <v>44070</v>
      </c>
      <c r="AS177" s="3" t="s">
        <v>2715</v>
      </c>
      <c r="AT177" s="186">
        <v>44112</v>
      </c>
      <c r="AU177" s="1107" t="s">
        <v>37</v>
      </c>
    </row>
    <row r="178" spans="1:47" ht="77.25" x14ac:dyDescent="0.25">
      <c r="A178" s="488"/>
      <c r="B178" s="486"/>
      <c r="C178" s="407"/>
      <c r="D178" s="572"/>
      <c r="E178" s="572"/>
      <c r="F178" s="407"/>
      <c r="G178" s="407"/>
      <c r="H178" s="541"/>
      <c r="I178" s="121"/>
      <c r="J178" s="188">
        <v>3073</v>
      </c>
      <c r="K178" s="547" t="s">
        <v>3014</v>
      </c>
      <c r="L178" s="926">
        <v>1415579.4025000001</v>
      </c>
      <c r="M178" s="926">
        <v>5122966.3728999998</v>
      </c>
      <c r="N178" s="541"/>
      <c r="O178" s="306" t="s">
        <v>3015</v>
      </c>
      <c r="P178" s="408" t="s">
        <v>2047</v>
      </c>
      <c r="Q178" s="306">
        <v>0.38</v>
      </c>
      <c r="R178" s="306">
        <v>1.5</v>
      </c>
      <c r="S178" s="306"/>
      <c r="T178" s="305" t="s">
        <v>3015</v>
      </c>
      <c r="U178" s="415" t="s">
        <v>10</v>
      </c>
      <c r="V178" s="410" t="s">
        <v>16</v>
      </c>
      <c r="W178" s="410" t="s">
        <v>16</v>
      </c>
      <c r="X178" s="2" t="s">
        <v>345</v>
      </c>
      <c r="Y178" s="2" t="s">
        <v>3016</v>
      </c>
      <c r="Z178" s="388" t="s">
        <v>2882</v>
      </c>
      <c r="AA178" s="2">
        <v>1</v>
      </c>
      <c r="AB178" s="2" t="s">
        <v>2995</v>
      </c>
      <c r="AC178" s="2">
        <v>7.7</v>
      </c>
      <c r="AD178" s="2">
        <f>AC178+6.2</f>
        <v>13.9</v>
      </c>
      <c r="AE178" s="2">
        <f>AC178-4.1</f>
        <v>3.6000000000000005</v>
      </c>
      <c r="AI178" s="280" t="s">
        <v>2891</v>
      </c>
      <c r="AK178" s="2"/>
      <c r="AN178" s="420" t="s">
        <v>3065</v>
      </c>
      <c r="AO178" s="280" t="s">
        <v>2975</v>
      </c>
      <c r="AP178" s="3" t="s">
        <v>2886</v>
      </c>
      <c r="AQ178" s="3" t="s">
        <v>2715</v>
      </c>
      <c r="AR178" s="186">
        <v>44070</v>
      </c>
      <c r="AS178" s="3" t="s">
        <v>2715</v>
      </c>
      <c r="AT178" s="186">
        <v>44112</v>
      </c>
      <c r="AU178" s="1107" t="s">
        <v>37</v>
      </c>
    </row>
    <row r="179" spans="1:47" ht="77.25" x14ac:dyDescent="0.25">
      <c r="A179" s="488"/>
      <c r="B179" s="486"/>
      <c r="C179" s="407"/>
      <c r="D179" s="572"/>
      <c r="E179" s="572"/>
      <c r="F179" s="407"/>
      <c r="G179" s="407"/>
      <c r="H179" s="541"/>
      <c r="I179" s="121"/>
      <c r="J179" s="188">
        <v>3074</v>
      </c>
      <c r="K179" s="547" t="s">
        <v>3017</v>
      </c>
      <c r="L179" s="926">
        <v>1415621.2364000001</v>
      </c>
      <c r="M179" s="926">
        <v>5123088.2083999999</v>
      </c>
      <c r="N179" s="541"/>
      <c r="O179" s="306" t="s">
        <v>3018</v>
      </c>
      <c r="P179" s="408" t="s">
        <v>2047</v>
      </c>
      <c r="Q179" s="306">
        <v>0.08</v>
      </c>
      <c r="R179" s="306">
        <v>1.6</v>
      </c>
      <c r="S179" s="306"/>
      <c r="T179" s="305" t="s">
        <v>3018</v>
      </c>
      <c r="U179" s="415" t="s">
        <v>10</v>
      </c>
      <c r="V179" s="410" t="s">
        <v>16</v>
      </c>
      <c r="W179" s="410" t="s">
        <v>16</v>
      </c>
      <c r="X179" s="2" t="s">
        <v>345</v>
      </c>
      <c r="Y179" s="2" t="s">
        <v>3019</v>
      </c>
      <c r="Z179" s="388" t="s">
        <v>2882</v>
      </c>
      <c r="AA179" s="2">
        <v>1</v>
      </c>
      <c r="AB179" s="2" t="s">
        <v>3020</v>
      </c>
      <c r="AC179" s="2">
        <v>3.7</v>
      </c>
      <c r="AD179" s="2">
        <f>AC179+3.5</f>
        <v>7.2</v>
      </c>
      <c r="AE179" s="2">
        <f>AC179-2</f>
        <v>1.7000000000000002</v>
      </c>
      <c r="AI179" s="280" t="s">
        <v>2891</v>
      </c>
      <c r="AK179" s="2"/>
      <c r="AN179" s="420" t="s">
        <v>3065</v>
      </c>
      <c r="AO179" s="280" t="s">
        <v>2975</v>
      </c>
      <c r="AP179" s="3" t="s">
        <v>2886</v>
      </c>
      <c r="AQ179" s="3" t="s">
        <v>2715</v>
      </c>
      <c r="AR179" s="186">
        <v>44070</v>
      </c>
      <c r="AS179" s="3" t="s">
        <v>2715</v>
      </c>
      <c r="AT179" s="186">
        <v>44112</v>
      </c>
      <c r="AU179" s="1107" t="s">
        <v>37</v>
      </c>
    </row>
    <row r="180" spans="1:47" ht="77.25" x14ac:dyDescent="0.25">
      <c r="A180" s="488"/>
      <c r="B180" s="486"/>
      <c r="C180" s="407"/>
      <c r="D180" s="572"/>
      <c r="E180" s="572"/>
      <c r="F180" s="407"/>
      <c r="G180" s="407"/>
      <c r="H180" s="541"/>
      <c r="I180" s="121"/>
      <c r="J180" s="188">
        <v>3075</v>
      </c>
      <c r="K180" s="547" t="s">
        <v>3021</v>
      </c>
      <c r="L180" s="926">
        <v>1415009.6910000001</v>
      </c>
      <c r="M180" s="926">
        <v>5125108.41</v>
      </c>
      <c r="N180" s="541"/>
      <c r="O180" s="306" t="s">
        <v>3022</v>
      </c>
      <c r="P180" s="408" t="s">
        <v>2047</v>
      </c>
      <c r="Q180" s="306">
        <v>0.23</v>
      </c>
      <c r="R180" s="306">
        <v>0.6</v>
      </c>
      <c r="S180" s="306"/>
      <c r="T180" s="305" t="s">
        <v>3022</v>
      </c>
      <c r="U180" s="415" t="s">
        <v>10</v>
      </c>
      <c r="V180" s="410" t="s">
        <v>16</v>
      </c>
      <c r="W180" s="410" t="s">
        <v>16</v>
      </c>
      <c r="X180" s="2" t="s">
        <v>345</v>
      </c>
      <c r="Y180" s="2" t="s">
        <v>3023</v>
      </c>
      <c r="Z180" s="388" t="s">
        <v>2882</v>
      </c>
      <c r="AA180" s="2">
        <v>1</v>
      </c>
      <c r="AB180" s="2" t="s">
        <v>2974</v>
      </c>
      <c r="AC180" s="2">
        <v>72</v>
      </c>
      <c r="AD180" s="2">
        <f>AC180+25</f>
        <v>97</v>
      </c>
      <c r="AE180" s="2">
        <f>AC180-32</f>
        <v>40</v>
      </c>
      <c r="AI180" s="280" t="s">
        <v>2891</v>
      </c>
      <c r="AK180" s="2"/>
      <c r="AN180" s="420" t="s">
        <v>3065</v>
      </c>
      <c r="AO180" s="280" t="s">
        <v>2975</v>
      </c>
      <c r="AP180" s="3" t="s">
        <v>2886</v>
      </c>
      <c r="AQ180" s="3" t="s">
        <v>2715</v>
      </c>
      <c r="AR180" s="186">
        <v>44070</v>
      </c>
      <c r="AS180" s="3" t="s">
        <v>2715</v>
      </c>
      <c r="AT180" s="186">
        <v>44112</v>
      </c>
      <c r="AU180" s="1107" t="s">
        <v>37</v>
      </c>
    </row>
    <row r="181" spans="1:47" ht="90" x14ac:dyDescent="0.25">
      <c r="A181" s="488"/>
      <c r="B181" s="486"/>
      <c r="C181" s="407"/>
      <c r="D181" s="572"/>
      <c r="E181" s="572"/>
      <c r="F181" s="407"/>
      <c r="G181" s="407"/>
      <c r="H181" s="541"/>
      <c r="I181" s="121"/>
      <c r="J181" s="188">
        <v>3076</v>
      </c>
      <c r="K181" s="547" t="s">
        <v>3024</v>
      </c>
      <c r="L181" s="926">
        <v>1421811.4361</v>
      </c>
      <c r="M181" s="926">
        <v>5133289.1786000002</v>
      </c>
      <c r="N181" s="541"/>
      <c r="O181" s="306" t="s">
        <v>3025</v>
      </c>
      <c r="P181" s="408" t="s">
        <v>2047</v>
      </c>
      <c r="Q181" s="306">
        <v>0.33</v>
      </c>
      <c r="R181" s="306">
        <v>0.4</v>
      </c>
      <c r="S181" s="306"/>
      <c r="T181" s="305" t="s">
        <v>3025</v>
      </c>
      <c r="U181" s="415" t="s">
        <v>10</v>
      </c>
      <c r="V181" s="410" t="s">
        <v>85</v>
      </c>
      <c r="W181" s="410" t="s">
        <v>16</v>
      </c>
      <c r="X181" s="2" t="s">
        <v>345</v>
      </c>
      <c r="Y181" s="2" t="s">
        <v>3026</v>
      </c>
      <c r="Z181" s="388" t="s">
        <v>289</v>
      </c>
      <c r="AA181" s="2">
        <v>1</v>
      </c>
      <c r="AB181" s="2" t="s">
        <v>3027</v>
      </c>
      <c r="AC181" s="2">
        <v>24.8</v>
      </c>
      <c r="AD181" s="2">
        <f>AC181+2.7</f>
        <v>27.5</v>
      </c>
      <c r="AE181" s="2">
        <f>AC181-2.7</f>
        <v>22.1</v>
      </c>
      <c r="AI181" s="280" t="s">
        <v>23</v>
      </c>
      <c r="AK181" s="2"/>
      <c r="AN181" s="420" t="s">
        <v>3078</v>
      </c>
      <c r="AO181" s="388" t="s">
        <v>2885</v>
      </c>
      <c r="AP181" s="3" t="s">
        <v>2886</v>
      </c>
      <c r="AQ181" s="3" t="s">
        <v>2715</v>
      </c>
      <c r="AR181" s="186">
        <v>44070</v>
      </c>
      <c r="AS181" s="3" t="s">
        <v>2715</v>
      </c>
      <c r="AT181" s="186">
        <v>44112</v>
      </c>
      <c r="AU181" s="1107" t="s">
        <v>37</v>
      </c>
    </row>
    <row r="182" spans="1:47" ht="90" x14ac:dyDescent="0.25">
      <c r="A182" s="488"/>
      <c r="B182" s="486"/>
      <c r="C182" s="407"/>
      <c r="D182" s="572"/>
      <c r="E182" s="572"/>
      <c r="F182" s="407"/>
      <c r="G182" s="407"/>
      <c r="H182" s="541"/>
      <c r="I182" s="121"/>
      <c r="J182" s="188">
        <v>3077</v>
      </c>
      <c r="K182" s="547" t="s">
        <v>3028</v>
      </c>
      <c r="L182" s="926">
        <v>1421862.1573999999</v>
      </c>
      <c r="M182" s="926">
        <v>5133282.6405999996</v>
      </c>
      <c r="N182" s="541"/>
      <c r="O182" s="306" t="s">
        <v>3029</v>
      </c>
      <c r="P182" s="408" t="s">
        <v>2047</v>
      </c>
      <c r="Q182" s="306">
        <v>0.06</v>
      </c>
      <c r="R182" s="306">
        <v>0.14000000000000001</v>
      </c>
      <c r="S182" s="306"/>
      <c r="T182" s="305" t="s">
        <v>3029</v>
      </c>
      <c r="U182" s="415" t="s">
        <v>10</v>
      </c>
      <c r="V182" s="410" t="s">
        <v>85</v>
      </c>
      <c r="W182" s="410" t="s">
        <v>16</v>
      </c>
      <c r="X182" s="2" t="s">
        <v>345</v>
      </c>
      <c r="Y182" s="2" t="s">
        <v>3030</v>
      </c>
      <c r="Z182" s="388" t="s">
        <v>289</v>
      </c>
      <c r="AA182" s="2">
        <v>1</v>
      </c>
      <c r="AB182" s="2" t="s">
        <v>3031</v>
      </c>
      <c r="AC182" s="2">
        <v>16.399999999999999</v>
      </c>
      <c r="AD182" s="2">
        <f>AC182+2</f>
        <v>18.399999999999999</v>
      </c>
      <c r="AE182" s="2">
        <f>AC182-2</f>
        <v>14.399999999999999</v>
      </c>
      <c r="AI182" s="280" t="s">
        <v>23</v>
      </c>
      <c r="AK182" s="2"/>
      <c r="AN182" s="420" t="s">
        <v>3078</v>
      </c>
      <c r="AO182" s="388" t="s">
        <v>2898</v>
      </c>
      <c r="AP182" s="3" t="s">
        <v>2886</v>
      </c>
      <c r="AQ182" s="3" t="s">
        <v>2715</v>
      </c>
      <c r="AR182" s="186">
        <v>44070</v>
      </c>
      <c r="AS182" s="3" t="s">
        <v>2715</v>
      </c>
      <c r="AT182" s="186">
        <v>44112</v>
      </c>
      <c r="AU182" s="1107" t="s">
        <v>37</v>
      </c>
    </row>
    <row r="183" spans="1:47" ht="90.75" thickBot="1" x14ac:dyDescent="0.3">
      <c r="A183" s="489"/>
      <c r="B183" s="133"/>
      <c r="C183" s="78"/>
      <c r="D183" s="569"/>
      <c r="E183" s="569"/>
      <c r="F183" s="78"/>
      <c r="G183" s="78"/>
      <c r="H183" s="119"/>
      <c r="I183" s="429"/>
      <c r="J183" s="192">
        <v>3078</v>
      </c>
      <c r="K183" s="79" t="s">
        <v>3032</v>
      </c>
      <c r="L183" s="916">
        <v>1425406.4915</v>
      </c>
      <c r="M183" s="916">
        <v>5139514.8202999998</v>
      </c>
      <c r="N183" s="119"/>
      <c r="O183" s="233" t="s">
        <v>3033</v>
      </c>
      <c r="P183" s="69" t="s">
        <v>2047</v>
      </c>
      <c r="Q183" s="233">
        <v>0.52</v>
      </c>
      <c r="R183" s="233">
        <v>1.28</v>
      </c>
      <c r="S183" s="233"/>
      <c r="T183" s="322" t="s">
        <v>3033</v>
      </c>
      <c r="U183" s="416" t="s">
        <v>10</v>
      </c>
      <c r="V183" s="411" t="s">
        <v>85</v>
      </c>
      <c r="W183" s="411" t="s">
        <v>16</v>
      </c>
      <c r="X183" s="25" t="s">
        <v>345</v>
      </c>
      <c r="Y183" s="25" t="s">
        <v>3034</v>
      </c>
      <c r="Z183" s="391" t="s">
        <v>289</v>
      </c>
      <c r="AA183" s="25">
        <v>2</v>
      </c>
      <c r="AB183" s="25" t="s">
        <v>3035</v>
      </c>
      <c r="AC183" s="25">
        <v>48</v>
      </c>
      <c r="AD183" s="25">
        <f>AC183+32</f>
        <v>80</v>
      </c>
      <c r="AE183" s="25">
        <f>AC183-20</f>
        <v>28</v>
      </c>
      <c r="AF183" s="25"/>
      <c r="AG183" s="386"/>
      <c r="AH183" s="386"/>
      <c r="AI183" s="271" t="s">
        <v>2891</v>
      </c>
      <c r="AJ183" s="105"/>
      <c r="AK183" s="25"/>
      <c r="AL183" s="386"/>
      <c r="AM183" s="386"/>
      <c r="AN183" s="421" t="s">
        <v>3071</v>
      </c>
      <c r="AO183" s="271" t="s">
        <v>2975</v>
      </c>
      <c r="AP183" s="52" t="s">
        <v>2886</v>
      </c>
      <c r="AQ183" s="52" t="s">
        <v>2715</v>
      </c>
      <c r="AR183" s="53">
        <v>44070</v>
      </c>
      <c r="AS183" s="52" t="s">
        <v>2715</v>
      </c>
      <c r="AT183" s="53">
        <v>44112</v>
      </c>
      <c r="AU183" s="653" t="s">
        <v>37</v>
      </c>
    </row>
    <row r="184" spans="1:47" ht="102.75" x14ac:dyDescent="0.25">
      <c r="A184" s="341" t="s">
        <v>2877</v>
      </c>
      <c r="B184" s="181" t="s">
        <v>6806</v>
      </c>
      <c r="C184" s="125">
        <v>690</v>
      </c>
      <c r="D184" s="585" t="s">
        <v>2878</v>
      </c>
      <c r="E184" s="585"/>
      <c r="F184" s="394" t="s">
        <v>840</v>
      </c>
      <c r="G184" s="394" t="s">
        <v>1263</v>
      </c>
      <c r="H184" s="126" t="s">
        <v>5049</v>
      </c>
      <c r="I184" s="247" t="s">
        <v>5305</v>
      </c>
      <c r="J184" s="189">
        <v>3079</v>
      </c>
      <c r="K184" s="355" t="s">
        <v>3036</v>
      </c>
      <c r="L184" s="911">
        <v>1426621.5430999999</v>
      </c>
      <c r="M184" s="911">
        <v>5143177.5045999996</v>
      </c>
      <c r="N184" s="126"/>
      <c r="O184" s="255" t="s">
        <v>3037</v>
      </c>
      <c r="P184" s="254" t="s">
        <v>2047</v>
      </c>
      <c r="Q184" s="255">
        <v>0.28999999999999998</v>
      </c>
      <c r="R184" s="255">
        <v>1.79</v>
      </c>
      <c r="S184" s="255"/>
      <c r="T184" s="289" t="s">
        <v>3037</v>
      </c>
      <c r="U184" s="418" t="s">
        <v>10</v>
      </c>
      <c r="V184" s="382" t="s">
        <v>85</v>
      </c>
      <c r="W184" s="382" t="s">
        <v>16</v>
      </c>
      <c r="X184" s="31" t="s">
        <v>345</v>
      </c>
      <c r="Y184" s="31" t="s">
        <v>3038</v>
      </c>
      <c r="Z184" s="389" t="s">
        <v>2962</v>
      </c>
      <c r="AA184" s="31">
        <v>2</v>
      </c>
      <c r="AB184" s="31" t="s">
        <v>3035</v>
      </c>
      <c r="AC184" s="31">
        <v>48</v>
      </c>
      <c r="AD184" s="31">
        <f>AC184+32</f>
        <v>80</v>
      </c>
      <c r="AE184" s="31">
        <f>AC184-20</f>
        <v>28</v>
      </c>
      <c r="AF184" s="31"/>
      <c r="AG184" s="372"/>
      <c r="AH184" s="372"/>
      <c r="AI184" s="286" t="s">
        <v>2891</v>
      </c>
      <c r="AJ184" s="130"/>
      <c r="AK184" s="31"/>
      <c r="AL184" s="372"/>
      <c r="AM184" s="372"/>
      <c r="AN184" s="422" t="s">
        <v>3072</v>
      </c>
      <c r="AO184" s="286" t="s">
        <v>2975</v>
      </c>
      <c r="AP184" s="40" t="s">
        <v>2886</v>
      </c>
      <c r="AQ184" s="40" t="s">
        <v>2715</v>
      </c>
      <c r="AR184" s="41">
        <v>44070</v>
      </c>
      <c r="AS184" s="40" t="s">
        <v>2715</v>
      </c>
      <c r="AT184" s="41">
        <v>44112</v>
      </c>
      <c r="AU184" s="652" t="s">
        <v>37</v>
      </c>
    </row>
    <row r="185" spans="1:47" ht="90" x14ac:dyDescent="0.25">
      <c r="A185" s="339"/>
      <c r="B185" s="116"/>
      <c r="C185" s="95"/>
      <c r="D185" s="567"/>
      <c r="E185" s="567"/>
      <c r="F185" s="522"/>
      <c r="G185" s="522"/>
      <c r="H185" s="108"/>
      <c r="I185" s="122"/>
      <c r="J185" s="191">
        <v>3080</v>
      </c>
      <c r="K185" s="359" t="s">
        <v>3039</v>
      </c>
      <c r="L185" s="913">
        <v>1426630.6643000001</v>
      </c>
      <c r="M185" s="913">
        <v>5143311.5283000004</v>
      </c>
      <c r="N185" s="108"/>
      <c r="O185" s="259" t="s">
        <v>3040</v>
      </c>
      <c r="P185" s="258" t="s">
        <v>2047</v>
      </c>
      <c r="Q185" s="259">
        <v>0.14000000000000001</v>
      </c>
      <c r="R185" s="259">
        <v>0.25</v>
      </c>
      <c r="S185" s="259"/>
      <c r="T185" s="283" t="s">
        <v>3040</v>
      </c>
      <c r="U185" s="415" t="s">
        <v>10</v>
      </c>
      <c r="V185" s="417" t="s">
        <v>85</v>
      </c>
      <c r="W185" s="417" t="s">
        <v>16</v>
      </c>
      <c r="X185" s="24" t="s">
        <v>345</v>
      </c>
      <c r="Y185" s="24" t="s">
        <v>3041</v>
      </c>
      <c r="Z185" s="404" t="s">
        <v>2962</v>
      </c>
      <c r="AA185" s="24">
        <v>1</v>
      </c>
      <c r="AB185" s="24" t="s">
        <v>3031</v>
      </c>
      <c r="AC185" s="24">
        <v>16.399999999999999</v>
      </c>
      <c r="AD185" s="24">
        <f>AC185+2</f>
        <v>18.399999999999999</v>
      </c>
      <c r="AE185" s="24">
        <f>AC185-2</f>
        <v>14.399999999999999</v>
      </c>
      <c r="AF185" s="24"/>
      <c r="AG185" s="351"/>
      <c r="AH185" s="351"/>
      <c r="AI185" s="403" t="s">
        <v>23</v>
      </c>
      <c r="AJ185" s="103"/>
      <c r="AK185" s="24"/>
      <c r="AL185" s="351"/>
      <c r="AM185" s="351"/>
      <c r="AN185" s="324" t="s">
        <v>3071</v>
      </c>
      <c r="AO185" s="404" t="s">
        <v>2898</v>
      </c>
      <c r="AP185" s="46" t="s">
        <v>2886</v>
      </c>
      <c r="AQ185" s="46" t="s">
        <v>2715</v>
      </c>
      <c r="AR185" s="47">
        <v>44070</v>
      </c>
      <c r="AS185" s="46" t="s">
        <v>2715</v>
      </c>
      <c r="AT185" s="47">
        <v>44112</v>
      </c>
      <c r="AU185" s="1107" t="s">
        <v>37</v>
      </c>
    </row>
    <row r="186" spans="1:47" ht="90" x14ac:dyDescent="0.25">
      <c r="A186" s="339"/>
      <c r="B186" s="116"/>
      <c r="C186" s="95"/>
      <c r="D186" s="567"/>
      <c r="E186" s="567"/>
      <c r="F186" s="522"/>
      <c r="G186" s="522"/>
      <c r="H186" s="108"/>
      <c r="I186" s="122"/>
      <c r="J186" s="191">
        <v>3081</v>
      </c>
      <c r="K186" s="359" t="s">
        <v>3042</v>
      </c>
      <c r="L186" s="913">
        <v>1426682.5204</v>
      </c>
      <c r="M186" s="913">
        <v>5143539.6119999997</v>
      </c>
      <c r="N186" s="108"/>
      <c r="O186" s="259" t="s">
        <v>3043</v>
      </c>
      <c r="P186" s="258" t="s">
        <v>2047</v>
      </c>
      <c r="Q186" s="259">
        <v>0.08</v>
      </c>
      <c r="R186" s="259">
        <v>0.39</v>
      </c>
      <c r="S186" s="259"/>
      <c r="T186" s="283" t="s">
        <v>3043</v>
      </c>
      <c r="U186" s="415" t="s">
        <v>10</v>
      </c>
      <c r="V186" s="417" t="s">
        <v>85</v>
      </c>
      <c r="W186" s="417" t="s">
        <v>16</v>
      </c>
      <c r="X186" s="24" t="s">
        <v>345</v>
      </c>
      <c r="Y186" s="24" t="s">
        <v>3044</v>
      </c>
      <c r="Z186" s="404" t="s">
        <v>2962</v>
      </c>
      <c r="AA186" s="24">
        <v>1</v>
      </c>
      <c r="AB186" s="24" t="s">
        <v>3031</v>
      </c>
      <c r="AC186" s="24">
        <v>16.399999999999999</v>
      </c>
      <c r="AD186" s="24">
        <f>AC186+2</f>
        <v>18.399999999999999</v>
      </c>
      <c r="AE186" s="24">
        <f>AC186-2</f>
        <v>14.399999999999999</v>
      </c>
      <c r="AF186" s="24"/>
      <c r="AG186" s="351"/>
      <c r="AH186" s="351"/>
      <c r="AI186" s="403" t="s">
        <v>23</v>
      </c>
      <c r="AJ186" s="103"/>
      <c r="AK186" s="24"/>
      <c r="AL186" s="351"/>
      <c r="AM186" s="351"/>
      <c r="AN186" s="324" t="s">
        <v>3071</v>
      </c>
      <c r="AO186" s="404" t="s">
        <v>2898</v>
      </c>
      <c r="AP186" s="46" t="s">
        <v>2886</v>
      </c>
      <c r="AQ186" s="46" t="s">
        <v>2715</v>
      </c>
      <c r="AR186" s="47">
        <v>44070</v>
      </c>
      <c r="AS186" s="46" t="s">
        <v>2715</v>
      </c>
      <c r="AT186" s="47">
        <v>44112</v>
      </c>
      <c r="AU186" s="1107" t="s">
        <v>37</v>
      </c>
    </row>
    <row r="187" spans="1:47" ht="77.25" x14ac:dyDescent="0.25">
      <c r="A187" s="339"/>
      <c r="B187" s="116"/>
      <c r="C187" s="95"/>
      <c r="D187" s="567"/>
      <c r="E187" s="567"/>
      <c r="F187" s="522"/>
      <c r="G187" s="522"/>
      <c r="H187" s="108"/>
      <c r="I187" s="122"/>
      <c r="J187" s="191">
        <v>3060</v>
      </c>
      <c r="K187" s="359" t="s">
        <v>2969</v>
      </c>
      <c r="L187" s="913">
        <v>1426739.0145</v>
      </c>
      <c r="M187" s="913">
        <v>5145359.5609999998</v>
      </c>
      <c r="N187" s="108"/>
      <c r="O187" s="108" t="s">
        <v>2970</v>
      </c>
      <c r="P187" s="258" t="s">
        <v>2047</v>
      </c>
      <c r="Q187" s="108">
        <v>0.05</v>
      </c>
      <c r="R187" s="108">
        <v>0.55000000000000004</v>
      </c>
      <c r="S187" s="108"/>
      <c r="T187" s="184" t="s">
        <v>2970</v>
      </c>
      <c r="U187" s="102" t="s">
        <v>10</v>
      </c>
      <c r="V187" s="24" t="s">
        <v>16</v>
      </c>
      <c r="W187" s="24" t="s">
        <v>16</v>
      </c>
      <c r="X187" s="24" t="s">
        <v>345</v>
      </c>
      <c r="Y187" s="24" t="s">
        <v>2971</v>
      </c>
      <c r="Z187" s="404" t="s">
        <v>289</v>
      </c>
      <c r="AA187" s="24">
        <v>1</v>
      </c>
      <c r="AB187" s="24" t="s">
        <v>2897</v>
      </c>
      <c r="AC187" s="24">
        <v>16.399999999999999</v>
      </c>
      <c r="AD187" s="24">
        <f>AC187+2</f>
        <v>18.399999999999999</v>
      </c>
      <c r="AE187" s="24">
        <f>AC187-2</f>
        <v>14.399999999999999</v>
      </c>
      <c r="AF187" s="24"/>
      <c r="AG187" s="351"/>
      <c r="AH187" s="351"/>
      <c r="AI187" s="403" t="s">
        <v>23</v>
      </c>
      <c r="AJ187" s="103"/>
      <c r="AK187" s="24"/>
      <c r="AL187" s="351"/>
      <c r="AM187" s="351"/>
      <c r="AN187" s="324" t="s">
        <v>3070</v>
      </c>
      <c r="AO187" s="404" t="s">
        <v>2898</v>
      </c>
      <c r="AP187" s="46" t="s">
        <v>2886</v>
      </c>
      <c r="AQ187" s="46" t="s">
        <v>2715</v>
      </c>
      <c r="AR187" s="47">
        <v>44244</v>
      </c>
      <c r="AS187" s="46" t="s">
        <v>2715</v>
      </c>
      <c r="AT187" s="47">
        <v>44112</v>
      </c>
      <c r="AU187" s="1107" t="s">
        <v>37</v>
      </c>
    </row>
    <row r="188" spans="1:47" ht="77.25" x14ac:dyDescent="0.25">
      <c r="A188" s="339"/>
      <c r="B188" s="116"/>
      <c r="C188" s="95"/>
      <c r="D188" s="567"/>
      <c r="E188" s="567"/>
      <c r="F188" s="522"/>
      <c r="G188" s="522"/>
      <c r="H188" s="108"/>
      <c r="I188" s="122"/>
      <c r="J188" s="191">
        <v>3068</v>
      </c>
      <c r="K188" s="359" t="s">
        <v>2996</v>
      </c>
      <c r="L188" s="913">
        <v>1426657.6366000001</v>
      </c>
      <c r="M188" s="913">
        <v>5144679.6727999998</v>
      </c>
      <c r="N188" s="108"/>
      <c r="O188" s="108" t="s">
        <v>2997</v>
      </c>
      <c r="P188" s="258" t="s">
        <v>2047</v>
      </c>
      <c r="Q188" s="108">
        <v>7.0000000000000007E-2</v>
      </c>
      <c r="R188" s="108">
        <v>1.53</v>
      </c>
      <c r="S188" s="108"/>
      <c r="T188" s="184" t="s">
        <v>2997</v>
      </c>
      <c r="U188" s="102" t="s">
        <v>10</v>
      </c>
      <c r="V188" s="24" t="s">
        <v>16</v>
      </c>
      <c r="W188" s="24" t="s">
        <v>16</v>
      </c>
      <c r="X188" s="24" t="s">
        <v>345</v>
      </c>
      <c r="Y188" s="24" t="s">
        <v>2998</v>
      </c>
      <c r="Z188" s="404" t="s">
        <v>289</v>
      </c>
      <c r="AA188" s="24">
        <v>2</v>
      </c>
      <c r="AB188" s="24" t="s">
        <v>2883</v>
      </c>
      <c r="AC188" s="24">
        <v>24.8</v>
      </c>
      <c r="AD188" s="24">
        <f>AC188+2.7</f>
        <v>27.5</v>
      </c>
      <c r="AE188" s="24">
        <f>AC188-2.7</f>
        <v>22.1</v>
      </c>
      <c r="AF188" s="24"/>
      <c r="AG188" s="351"/>
      <c r="AH188" s="351"/>
      <c r="AI188" s="403" t="s">
        <v>23</v>
      </c>
      <c r="AJ188" s="103"/>
      <c r="AK188" s="24"/>
      <c r="AL188" s="351"/>
      <c r="AM188" s="351"/>
      <c r="AN188" s="324" t="s">
        <v>3075</v>
      </c>
      <c r="AO188" s="404" t="s">
        <v>2885</v>
      </c>
      <c r="AP188" s="46" t="s">
        <v>2886</v>
      </c>
      <c r="AQ188" s="46" t="s">
        <v>2715</v>
      </c>
      <c r="AR188" s="47">
        <v>44244</v>
      </c>
      <c r="AS188" s="46" t="s">
        <v>2715</v>
      </c>
      <c r="AT188" s="47">
        <v>44112</v>
      </c>
      <c r="AU188" s="1107" t="s">
        <v>37</v>
      </c>
    </row>
    <row r="189" spans="1:47" ht="78" thickBot="1" x14ac:dyDescent="0.3">
      <c r="A189" s="336"/>
      <c r="B189" s="196"/>
      <c r="C189" s="96"/>
      <c r="D189" s="566"/>
      <c r="E189" s="566"/>
      <c r="F189" s="99"/>
      <c r="G189" s="99"/>
      <c r="H189" s="107"/>
      <c r="I189" s="123"/>
      <c r="J189" s="190">
        <v>3059</v>
      </c>
      <c r="K189" s="357" t="s">
        <v>2966</v>
      </c>
      <c r="L189" s="912">
        <v>1426699.9102</v>
      </c>
      <c r="M189" s="912">
        <v>5144518.7006000001</v>
      </c>
      <c r="N189" s="107"/>
      <c r="O189" s="107" t="s">
        <v>2967</v>
      </c>
      <c r="P189" s="261" t="s">
        <v>2047</v>
      </c>
      <c r="Q189" s="107">
        <v>0.7</v>
      </c>
      <c r="R189" s="107">
        <v>0.18</v>
      </c>
      <c r="S189" s="107"/>
      <c r="T189" s="127" t="s">
        <v>2967</v>
      </c>
      <c r="U189" s="104" t="s">
        <v>10</v>
      </c>
      <c r="V189" s="25" t="s">
        <v>16</v>
      </c>
      <c r="W189" s="25" t="s">
        <v>16</v>
      </c>
      <c r="X189" s="25" t="s">
        <v>345</v>
      </c>
      <c r="Y189" s="25" t="s">
        <v>2968</v>
      </c>
      <c r="Z189" s="391" t="s">
        <v>289</v>
      </c>
      <c r="AA189" s="25">
        <v>1</v>
      </c>
      <c r="AB189" s="25" t="s">
        <v>2897</v>
      </c>
      <c r="AC189" s="25">
        <v>16.399999999999999</v>
      </c>
      <c r="AD189" s="25">
        <f>AC189+2</f>
        <v>18.399999999999999</v>
      </c>
      <c r="AE189" s="25">
        <f>AC189-2</f>
        <v>14.399999999999999</v>
      </c>
      <c r="AF189" s="25"/>
      <c r="AG189" s="386"/>
      <c r="AH189" s="386"/>
      <c r="AI189" s="271" t="s">
        <v>23</v>
      </c>
      <c r="AJ189" s="105"/>
      <c r="AK189" s="25"/>
      <c r="AL189" s="386"/>
      <c r="AM189" s="386"/>
      <c r="AN189" s="421" t="s">
        <v>3070</v>
      </c>
      <c r="AO189" s="391" t="s">
        <v>2898</v>
      </c>
      <c r="AP189" s="52" t="s">
        <v>2886</v>
      </c>
      <c r="AQ189" s="52" t="s">
        <v>2715</v>
      </c>
      <c r="AR189" s="53">
        <v>44244</v>
      </c>
      <c r="AS189" s="52" t="s">
        <v>2715</v>
      </c>
      <c r="AT189" s="53">
        <v>44112</v>
      </c>
      <c r="AU189" s="653" t="s">
        <v>37</v>
      </c>
    </row>
    <row r="190" spans="1:47" ht="64.5" x14ac:dyDescent="0.25">
      <c r="A190" s="807" t="s">
        <v>905</v>
      </c>
      <c r="B190" s="349" t="s">
        <v>4984</v>
      </c>
      <c r="C190" s="157">
        <v>356</v>
      </c>
      <c r="D190" s="592" t="s">
        <v>52</v>
      </c>
      <c r="E190" s="592"/>
      <c r="F190" s="157" t="s">
        <v>906</v>
      </c>
      <c r="G190" s="158" t="s">
        <v>1263</v>
      </c>
      <c r="H190" s="159" t="s">
        <v>5294</v>
      </c>
      <c r="I190" s="349" t="s">
        <v>5295</v>
      </c>
      <c r="J190" s="193">
        <v>156</v>
      </c>
      <c r="K190" s="433" t="s">
        <v>907</v>
      </c>
      <c r="L190" s="924">
        <v>2060633.7542000001</v>
      </c>
      <c r="M190" s="924">
        <v>5728172.6029000003</v>
      </c>
      <c r="N190" s="159"/>
      <c r="O190" s="159" t="s">
        <v>909</v>
      </c>
      <c r="P190" s="159" t="s">
        <v>194</v>
      </c>
      <c r="Q190" s="159"/>
      <c r="R190" s="159"/>
      <c r="S190" s="159"/>
      <c r="T190" s="1085" t="s">
        <v>913</v>
      </c>
      <c r="U190" s="169" t="s">
        <v>16</v>
      </c>
      <c r="V190" s="151" t="s">
        <v>16</v>
      </c>
      <c r="W190" s="151" t="s">
        <v>16</v>
      </c>
      <c r="X190" s="153" t="s">
        <v>194</v>
      </c>
      <c r="Y190" s="151" t="s">
        <v>922</v>
      </c>
      <c r="Z190" s="152" t="s">
        <v>933</v>
      </c>
      <c r="AA190" s="153">
        <v>1</v>
      </c>
      <c r="AB190" s="153">
        <v>1.73</v>
      </c>
      <c r="AC190" s="151">
        <v>1.73</v>
      </c>
      <c r="AD190" s="151">
        <v>171</v>
      </c>
      <c r="AE190" s="151">
        <v>1.75</v>
      </c>
      <c r="AF190" s="151"/>
      <c r="AG190" s="151"/>
      <c r="AH190" s="151"/>
      <c r="AI190" s="203" t="s">
        <v>549</v>
      </c>
      <c r="AJ190" s="202"/>
      <c r="AK190" s="202"/>
      <c r="AL190" s="442"/>
      <c r="AM190" s="442"/>
      <c r="AN190" s="203" t="s">
        <v>930</v>
      </c>
      <c r="AO190" s="152" t="s">
        <v>916</v>
      </c>
      <c r="AP190" s="152" t="s">
        <v>911</v>
      </c>
      <c r="AQ190" s="152" t="s">
        <v>37</v>
      </c>
      <c r="AR190" s="170">
        <v>44244</v>
      </c>
      <c r="AS190" s="152" t="s">
        <v>37</v>
      </c>
      <c r="AT190" s="361"/>
      <c r="AU190" s="1112"/>
    </row>
    <row r="191" spans="1:47" ht="52.5" thickBot="1" x14ac:dyDescent="0.3">
      <c r="A191" s="809"/>
      <c r="B191" s="174"/>
      <c r="C191" s="165"/>
      <c r="D191" s="574"/>
      <c r="E191" s="574"/>
      <c r="F191" s="165"/>
      <c r="G191" s="166"/>
      <c r="H191" s="167"/>
      <c r="I191" s="174"/>
      <c r="J191" s="195">
        <v>157</v>
      </c>
      <c r="K191" s="435" t="s">
        <v>908</v>
      </c>
      <c r="L191" s="925">
        <v>2057203.8307</v>
      </c>
      <c r="M191" s="925">
        <v>5720181.6151000001</v>
      </c>
      <c r="N191" s="167"/>
      <c r="O191" s="167" t="s">
        <v>910</v>
      </c>
      <c r="P191" s="167" t="s">
        <v>194</v>
      </c>
      <c r="Q191" s="167"/>
      <c r="R191" s="167"/>
      <c r="S191" s="167"/>
      <c r="T191" s="1086" t="s">
        <v>914</v>
      </c>
      <c r="U191" s="171" t="s">
        <v>16</v>
      </c>
      <c r="V191" s="154" t="s">
        <v>10</v>
      </c>
      <c r="W191" s="154" t="s">
        <v>16</v>
      </c>
      <c r="X191" s="156" t="s">
        <v>194</v>
      </c>
      <c r="Y191" s="154" t="s">
        <v>923</v>
      </c>
      <c r="Z191" s="155" t="s">
        <v>933</v>
      </c>
      <c r="AA191" s="156">
        <v>1</v>
      </c>
      <c r="AB191" s="156" t="s">
        <v>915</v>
      </c>
      <c r="AC191" s="154">
        <v>7</v>
      </c>
      <c r="AD191" s="154">
        <v>6.5</v>
      </c>
      <c r="AE191" s="154">
        <v>7.5</v>
      </c>
      <c r="AF191" s="154"/>
      <c r="AG191" s="154"/>
      <c r="AH191" s="154"/>
      <c r="AI191" s="183" t="s">
        <v>549</v>
      </c>
      <c r="AJ191" s="201"/>
      <c r="AK191" s="201"/>
      <c r="AL191" s="443"/>
      <c r="AM191" s="443"/>
      <c r="AN191" s="183" t="s">
        <v>930</v>
      </c>
      <c r="AO191" s="155" t="s">
        <v>917</v>
      </c>
      <c r="AP191" s="155" t="s">
        <v>912</v>
      </c>
      <c r="AQ191" s="155" t="s">
        <v>37</v>
      </c>
      <c r="AR191" s="172">
        <v>44244</v>
      </c>
      <c r="AS191" s="155" t="s">
        <v>37</v>
      </c>
      <c r="AT191" s="362"/>
      <c r="AU191" s="1111"/>
    </row>
    <row r="192" spans="1:47" s="135" customFormat="1" ht="39.75" thickBot="1" x14ac:dyDescent="0.3">
      <c r="A192" s="1036" t="s">
        <v>3287</v>
      </c>
      <c r="B192" s="537" t="s">
        <v>3287</v>
      </c>
      <c r="C192" s="210">
        <v>5</v>
      </c>
      <c r="D192" s="587" t="s">
        <v>57</v>
      </c>
      <c r="E192" s="587"/>
      <c r="F192" s="210" t="s">
        <v>1553</v>
      </c>
      <c r="G192" s="385" t="s">
        <v>1238</v>
      </c>
      <c r="H192" s="264" t="s">
        <v>3312</v>
      </c>
      <c r="I192" s="627" t="s">
        <v>5490</v>
      </c>
      <c r="J192" s="263">
        <v>501</v>
      </c>
      <c r="K192" s="467" t="s">
        <v>3311</v>
      </c>
      <c r="L192" s="918">
        <v>1755979.1285000001</v>
      </c>
      <c r="M192" s="918">
        <v>5887372.1366999997</v>
      </c>
      <c r="N192" s="264"/>
      <c r="O192" s="264" t="s">
        <v>3312</v>
      </c>
      <c r="P192" s="264" t="s">
        <v>193</v>
      </c>
      <c r="Q192" s="264"/>
      <c r="R192" s="264"/>
      <c r="S192" s="264"/>
      <c r="T192" s="1087" t="s">
        <v>3312</v>
      </c>
      <c r="U192" s="206" t="s">
        <v>16</v>
      </c>
      <c r="V192" s="204" t="s">
        <v>16</v>
      </c>
      <c r="W192" s="204" t="s">
        <v>16</v>
      </c>
      <c r="X192" s="176" t="s">
        <v>194</v>
      </c>
      <c r="Y192" s="459">
        <v>44047</v>
      </c>
      <c r="Z192" s="208" t="s">
        <v>3313</v>
      </c>
      <c r="AA192" s="176">
        <v>1</v>
      </c>
      <c r="AB192" s="176" t="s">
        <v>3314</v>
      </c>
      <c r="AC192" s="204"/>
      <c r="AD192" s="204">
        <v>125</v>
      </c>
      <c r="AE192" s="204">
        <v>1000</v>
      </c>
      <c r="AF192" s="204"/>
      <c r="AG192" s="204"/>
      <c r="AH192" s="204"/>
      <c r="AI192" s="207"/>
      <c r="AJ192" s="205"/>
      <c r="AK192" s="205"/>
      <c r="AL192" s="353"/>
      <c r="AM192" s="353"/>
      <c r="AN192" s="207" t="s">
        <v>3292</v>
      </c>
      <c r="AO192" s="207" t="s">
        <v>3315</v>
      </c>
      <c r="AP192" s="374" t="s">
        <v>3297</v>
      </c>
      <c r="AQ192" s="374" t="s">
        <v>37</v>
      </c>
      <c r="AR192" s="377">
        <v>44244</v>
      </c>
      <c r="AS192" s="374" t="s">
        <v>37</v>
      </c>
      <c r="AT192" s="364"/>
      <c r="AU192" s="1109"/>
    </row>
    <row r="193" spans="1:47" s="8" customFormat="1" ht="65.25" thickBot="1" x14ac:dyDescent="0.3">
      <c r="A193" s="635" t="s">
        <v>1542</v>
      </c>
      <c r="B193" s="316" t="s">
        <v>1541</v>
      </c>
      <c r="C193" s="254">
        <v>478</v>
      </c>
      <c r="D193" s="316" t="s">
        <v>6842</v>
      </c>
      <c r="E193" s="316"/>
      <c r="F193" s="255" t="s">
        <v>668</v>
      </c>
      <c r="G193" s="371" t="s">
        <v>6843</v>
      </c>
      <c r="H193" s="255" t="s">
        <v>2248</v>
      </c>
      <c r="I193" s="297" t="s">
        <v>2278</v>
      </c>
      <c r="J193" s="476">
        <v>1185</v>
      </c>
      <c r="K193" s="449" t="s">
        <v>1540</v>
      </c>
      <c r="L193" s="908">
        <v>1585233.2845000001</v>
      </c>
      <c r="M193" s="908">
        <v>5292003.4890000001</v>
      </c>
      <c r="N193" s="296"/>
      <c r="O193" s="296" t="s">
        <v>1197</v>
      </c>
      <c r="P193" s="296" t="s">
        <v>194</v>
      </c>
      <c r="Q193" s="296"/>
      <c r="R193" s="296"/>
      <c r="S193" s="296"/>
      <c r="T193" s="295" t="s">
        <v>1539</v>
      </c>
      <c r="U193" s="314" t="s">
        <v>85</v>
      </c>
      <c r="V193" s="293" t="s">
        <v>16</v>
      </c>
      <c r="W193" s="293" t="s">
        <v>16</v>
      </c>
      <c r="X193" s="293" t="s">
        <v>194</v>
      </c>
      <c r="Y193" s="307" t="s">
        <v>1538</v>
      </c>
      <c r="Z193" s="342" t="s">
        <v>1537</v>
      </c>
      <c r="AA193" s="293"/>
      <c r="AB193" s="293" t="s">
        <v>1536</v>
      </c>
      <c r="AC193" s="293"/>
      <c r="AD193" s="293">
        <v>12.2</v>
      </c>
      <c r="AE193" s="293">
        <v>12.8</v>
      </c>
      <c r="AF193" s="293"/>
      <c r="AG193" s="293"/>
      <c r="AH193" s="293"/>
      <c r="AI193" s="292" t="s">
        <v>549</v>
      </c>
      <c r="AJ193" s="307"/>
      <c r="AK193" s="293"/>
      <c r="AL193" s="293"/>
      <c r="AM193" s="293"/>
      <c r="AN193" s="292" t="s">
        <v>6921</v>
      </c>
      <c r="AO193" s="292" t="s">
        <v>1535</v>
      </c>
      <c r="AP193" s="292" t="s">
        <v>1534</v>
      </c>
      <c r="AQ193" s="292" t="s">
        <v>1380</v>
      </c>
      <c r="AR193" s="291">
        <v>44244</v>
      </c>
      <c r="AS193" s="292" t="s">
        <v>1380</v>
      </c>
      <c r="AT193" s="291">
        <v>44096</v>
      </c>
      <c r="AU193" s="290" t="s">
        <v>37</v>
      </c>
    </row>
    <row r="194" spans="1:47" ht="64.5" x14ac:dyDescent="0.25">
      <c r="A194" s="487" t="s">
        <v>6085</v>
      </c>
      <c r="B194" s="128" t="s">
        <v>5949</v>
      </c>
      <c r="C194" s="72">
        <v>591</v>
      </c>
      <c r="D194" s="586" t="s">
        <v>57</v>
      </c>
      <c r="E194" s="586"/>
      <c r="F194" s="72" t="s">
        <v>4679</v>
      </c>
      <c r="G194" s="369" t="s">
        <v>1238</v>
      </c>
      <c r="H194" s="129" t="s">
        <v>5950</v>
      </c>
      <c r="I194" s="381" t="s">
        <v>6095</v>
      </c>
      <c r="J194" s="187">
        <v>911</v>
      </c>
      <c r="K194" s="73" t="s">
        <v>5970</v>
      </c>
      <c r="L194" s="914">
        <v>1889069.2956000001</v>
      </c>
      <c r="M194" s="914">
        <v>5761686.2493000003</v>
      </c>
      <c r="N194" s="129"/>
      <c r="O194" s="129" t="s">
        <v>6036</v>
      </c>
      <c r="P194" s="72" t="s">
        <v>193</v>
      </c>
      <c r="Q194" s="129"/>
      <c r="R194" s="129"/>
      <c r="S194" s="129"/>
      <c r="T194" s="266" t="s">
        <v>6036</v>
      </c>
      <c r="U194" s="136" t="s">
        <v>10</v>
      </c>
      <c r="V194" s="136" t="s">
        <v>16</v>
      </c>
      <c r="W194" s="136" t="s">
        <v>16</v>
      </c>
      <c r="X194" s="136" t="s">
        <v>194</v>
      </c>
      <c r="Y194" s="136" t="s">
        <v>6087</v>
      </c>
      <c r="Z194" s="137" t="s">
        <v>5978</v>
      </c>
      <c r="AA194" s="136"/>
      <c r="AB194" s="136" t="s">
        <v>5979</v>
      </c>
      <c r="AC194" s="136">
        <v>61</v>
      </c>
      <c r="AD194" s="136">
        <v>59.6</v>
      </c>
      <c r="AE194" s="136">
        <v>62.4</v>
      </c>
      <c r="AF194" s="136"/>
      <c r="AG194" s="350"/>
      <c r="AH194" s="350"/>
      <c r="AI194" s="180" t="s">
        <v>256</v>
      </c>
      <c r="AJ194" s="173"/>
      <c r="AK194" s="173"/>
      <c r="AL194" s="350"/>
      <c r="AM194" s="350"/>
      <c r="AN194" s="180" t="s">
        <v>6084</v>
      </c>
      <c r="AO194" s="137" t="s">
        <v>6086</v>
      </c>
      <c r="AP194" s="137" t="s">
        <v>5969</v>
      </c>
      <c r="AQ194" s="137" t="s">
        <v>37</v>
      </c>
      <c r="AR194" s="139">
        <v>44313</v>
      </c>
      <c r="AS194" s="137"/>
      <c r="AT194" s="358"/>
      <c r="AU194" s="1110"/>
    </row>
    <row r="195" spans="1:47" ht="39" x14ac:dyDescent="0.25">
      <c r="A195" s="488"/>
      <c r="B195" s="131"/>
      <c r="C195" s="75"/>
      <c r="D195" s="568"/>
      <c r="E195" s="568"/>
      <c r="F195" s="75"/>
      <c r="G195" s="563"/>
      <c r="H195" s="118"/>
      <c r="I195" s="121"/>
      <c r="J195" s="188">
        <v>912</v>
      </c>
      <c r="K195" s="76" t="s">
        <v>5971</v>
      </c>
      <c r="L195" s="915">
        <v>1889021.2</v>
      </c>
      <c r="M195" s="915">
        <v>5762129.8699000003</v>
      </c>
      <c r="N195" s="118"/>
      <c r="O195" s="118" t="s">
        <v>6037</v>
      </c>
      <c r="P195" s="75" t="s">
        <v>193</v>
      </c>
      <c r="Q195" s="118"/>
      <c r="R195" s="118"/>
      <c r="S195" s="118"/>
      <c r="T195" s="601" t="s">
        <v>6037</v>
      </c>
      <c r="U195" s="136" t="s">
        <v>10</v>
      </c>
      <c r="V195" s="136" t="s">
        <v>16</v>
      </c>
      <c r="W195" s="136" t="s">
        <v>16</v>
      </c>
      <c r="X195" s="136" t="s">
        <v>194</v>
      </c>
      <c r="Y195" s="136" t="s">
        <v>6088</v>
      </c>
      <c r="Z195" s="137" t="s">
        <v>5978</v>
      </c>
      <c r="AA195" s="136"/>
      <c r="AB195" s="136" t="s">
        <v>5979</v>
      </c>
      <c r="AC195" s="136">
        <v>61</v>
      </c>
      <c r="AD195" s="136">
        <v>59.6</v>
      </c>
      <c r="AE195" s="136">
        <v>62.4</v>
      </c>
      <c r="AF195" s="136"/>
      <c r="AG195" s="350"/>
      <c r="AH195" s="350"/>
      <c r="AI195" s="180" t="s">
        <v>256</v>
      </c>
      <c r="AJ195" s="173"/>
      <c r="AK195" s="173"/>
      <c r="AL195" s="350"/>
      <c r="AM195" s="350"/>
      <c r="AN195" s="180" t="s">
        <v>6084</v>
      </c>
      <c r="AO195" s="137" t="s">
        <v>6086</v>
      </c>
      <c r="AP195" s="137" t="s">
        <v>5969</v>
      </c>
      <c r="AQ195" s="137" t="s">
        <v>37</v>
      </c>
      <c r="AR195" s="139">
        <v>44314</v>
      </c>
      <c r="AS195" s="137"/>
      <c r="AT195" s="358"/>
      <c r="AU195" s="1110"/>
    </row>
    <row r="196" spans="1:47" ht="39" x14ac:dyDescent="0.25">
      <c r="A196" s="488"/>
      <c r="B196" s="131"/>
      <c r="C196" s="75"/>
      <c r="D196" s="568"/>
      <c r="E196" s="568"/>
      <c r="F196" s="75"/>
      <c r="G196" s="563"/>
      <c r="H196" s="118"/>
      <c r="I196" s="121"/>
      <c r="J196" s="188">
        <v>913</v>
      </c>
      <c r="K196" s="76" t="s">
        <v>5972</v>
      </c>
      <c r="L196" s="915">
        <v>1888921.5739</v>
      </c>
      <c r="M196" s="915">
        <v>5761363.1867000004</v>
      </c>
      <c r="N196" s="118"/>
      <c r="O196" s="118" t="s">
        <v>6038</v>
      </c>
      <c r="P196" s="75" t="s">
        <v>193</v>
      </c>
      <c r="Q196" s="118"/>
      <c r="R196" s="118"/>
      <c r="S196" s="118"/>
      <c r="T196" s="601" t="s">
        <v>6038</v>
      </c>
      <c r="U196" s="136" t="s">
        <v>10</v>
      </c>
      <c r="V196" s="136" t="s">
        <v>16</v>
      </c>
      <c r="W196" s="136" t="s">
        <v>16</v>
      </c>
      <c r="X196" s="136" t="s">
        <v>194</v>
      </c>
      <c r="Y196" s="136" t="s">
        <v>6089</v>
      </c>
      <c r="Z196" s="137" t="s">
        <v>5978</v>
      </c>
      <c r="AA196" s="136"/>
      <c r="AB196" s="136" t="s">
        <v>5979</v>
      </c>
      <c r="AC196" s="136">
        <v>61</v>
      </c>
      <c r="AD196" s="136">
        <v>59.6</v>
      </c>
      <c r="AE196" s="136">
        <v>62.4</v>
      </c>
      <c r="AF196" s="136"/>
      <c r="AG196" s="350"/>
      <c r="AH196" s="350"/>
      <c r="AI196" s="180" t="s">
        <v>256</v>
      </c>
      <c r="AJ196" s="173"/>
      <c r="AK196" s="173"/>
      <c r="AL196" s="350"/>
      <c r="AM196" s="350"/>
      <c r="AN196" s="180" t="s">
        <v>6084</v>
      </c>
      <c r="AO196" s="137" t="s">
        <v>6086</v>
      </c>
      <c r="AP196" s="137" t="s">
        <v>5969</v>
      </c>
      <c r="AQ196" s="137" t="s">
        <v>37</v>
      </c>
      <c r="AR196" s="139">
        <v>44314</v>
      </c>
      <c r="AS196" s="137"/>
      <c r="AT196" s="358"/>
      <c r="AU196" s="1110"/>
    </row>
    <row r="197" spans="1:47" ht="39" x14ac:dyDescent="0.25">
      <c r="A197" s="488"/>
      <c r="B197" s="131"/>
      <c r="C197" s="75"/>
      <c r="D197" s="568"/>
      <c r="E197" s="568"/>
      <c r="F197" s="75"/>
      <c r="G197" s="563"/>
      <c r="H197" s="118"/>
      <c r="I197" s="121"/>
      <c r="J197" s="188">
        <v>914</v>
      </c>
      <c r="K197" s="76" t="s">
        <v>5973</v>
      </c>
      <c r="L197" s="915">
        <v>1888871.1801</v>
      </c>
      <c r="M197" s="915">
        <v>5761215.0624000002</v>
      </c>
      <c r="N197" s="118"/>
      <c r="O197" s="118" t="s">
        <v>6039</v>
      </c>
      <c r="P197" s="75" t="s">
        <v>193</v>
      </c>
      <c r="Q197" s="118"/>
      <c r="R197" s="118"/>
      <c r="S197" s="118"/>
      <c r="T197" s="601" t="s">
        <v>6039</v>
      </c>
      <c r="U197" s="136" t="s">
        <v>10</v>
      </c>
      <c r="V197" s="136" t="s">
        <v>16</v>
      </c>
      <c r="W197" s="136" t="s">
        <v>16</v>
      </c>
      <c r="X197" s="136" t="s">
        <v>194</v>
      </c>
      <c r="Y197" s="136" t="s">
        <v>6090</v>
      </c>
      <c r="Z197" s="137" t="s">
        <v>5978</v>
      </c>
      <c r="AA197" s="136"/>
      <c r="AB197" s="136" t="s">
        <v>5979</v>
      </c>
      <c r="AC197" s="136">
        <v>61</v>
      </c>
      <c r="AD197" s="136">
        <v>59.6</v>
      </c>
      <c r="AE197" s="136">
        <v>62.4</v>
      </c>
      <c r="AF197" s="136"/>
      <c r="AG197" s="350"/>
      <c r="AH197" s="350"/>
      <c r="AI197" s="180" t="s">
        <v>256</v>
      </c>
      <c r="AJ197" s="173"/>
      <c r="AK197" s="173"/>
      <c r="AL197" s="350"/>
      <c r="AM197" s="350"/>
      <c r="AN197" s="180" t="s">
        <v>6084</v>
      </c>
      <c r="AO197" s="137" t="s">
        <v>6086</v>
      </c>
      <c r="AP197" s="137" t="s">
        <v>5969</v>
      </c>
      <c r="AQ197" s="137" t="s">
        <v>37</v>
      </c>
      <c r="AR197" s="139">
        <v>44314</v>
      </c>
      <c r="AS197" s="137"/>
      <c r="AT197" s="358"/>
      <c r="AU197" s="1110"/>
    </row>
    <row r="198" spans="1:47" ht="39" x14ac:dyDescent="0.25">
      <c r="A198" s="488"/>
      <c r="B198" s="131"/>
      <c r="C198" s="75"/>
      <c r="D198" s="568"/>
      <c r="E198" s="568"/>
      <c r="F198" s="75"/>
      <c r="G198" s="563"/>
      <c r="H198" s="118"/>
      <c r="I198" s="121"/>
      <c r="J198" s="188">
        <v>915</v>
      </c>
      <c r="K198" s="76" t="s">
        <v>5974</v>
      </c>
      <c r="L198" s="915">
        <v>1889053.9387000001</v>
      </c>
      <c r="M198" s="915">
        <v>5761259.4846999999</v>
      </c>
      <c r="N198" s="118"/>
      <c r="O198" s="118" t="s">
        <v>6040</v>
      </c>
      <c r="P198" s="75" t="s">
        <v>193</v>
      </c>
      <c r="Q198" s="118"/>
      <c r="R198" s="118"/>
      <c r="S198" s="118"/>
      <c r="T198" s="601" t="s">
        <v>6040</v>
      </c>
      <c r="U198" s="136" t="s">
        <v>10</v>
      </c>
      <c r="V198" s="136" t="s">
        <v>16</v>
      </c>
      <c r="W198" s="136" t="s">
        <v>16</v>
      </c>
      <c r="X198" s="136" t="s">
        <v>194</v>
      </c>
      <c r="Y198" s="136" t="s">
        <v>6091</v>
      </c>
      <c r="Z198" s="137" t="s">
        <v>5978</v>
      </c>
      <c r="AA198" s="136"/>
      <c r="AB198" s="136" t="s">
        <v>5979</v>
      </c>
      <c r="AC198" s="136">
        <v>61</v>
      </c>
      <c r="AD198" s="136">
        <v>59.6</v>
      </c>
      <c r="AE198" s="136">
        <v>62.4</v>
      </c>
      <c r="AF198" s="136"/>
      <c r="AG198" s="350"/>
      <c r="AH198" s="350"/>
      <c r="AI198" s="180" t="s">
        <v>256</v>
      </c>
      <c r="AJ198" s="173"/>
      <c r="AK198" s="173"/>
      <c r="AL198" s="350"/>
      <c r="AM198" s="350"/>
      <c r="AN198" s="180" t="s">
        <v>6084</v>
      </c>
      <c r="AO198" s="137" t="s">
        <v>6086</v>
      </c>
      <c r="AP198" s="137" t="s">
        <v>5969</v>
      </c>
      <c r="AQ198" s="137" t="s">
        <v>37</v>
      </c>
      <c r="AR198" s="139">
        <v>44314</v>
      </c>
      <c r="AS198" s="137"/>
      <c r="AT198" s="358"/>
      <c r="AU198" s="1110"/>
    </row>
    <row r="199" spans="1:47" ht="39" x14ac:dyDescent="0.25">
      <c r="A199" s="488"/>
      <c r="B199" s="131"/>
      <c r="C199" s="75"/>
      <c r="D199" s="568"/>
      <c r="E199" s="568"/>
      <c r="F199" s="75"/>
      <c r="G199" s="563"/>
      <c r="H199" s="118"/>
      <c r="I199" s="121"/>
      <c r="J199" s="188">
        <v>916</v>
      </c>
      <c r="K199" s="76" t="s">
        <v>5975</v>
      </c>
      <c r="L199" s="915">
        <v>1889512.5253999999</v>
      </c>
      <c r="M199" s="915">
        <v>5761260.6908999998</v>
      </c>
      <c r="N199" s="118"/>
      <c r="O199" s="118" t="s">
        <v>6041</v>
      </c>
      <c r="P199" s="75" t="s">
        <v>193</v>
      </c>
      <c r="Q199" s="118"/>
      <c r="R199" s="118"/>
      <c r="S199" s="118"/>
      <c r="T199" s="601" t="s">
        <v>6041</v>
      </c>
      <c r="U199" s="136" t="s">
        <v>10</v>
      </c>
      <c r="V199" s="136" t="s">
        <v>16</v>
      </c>
      <c r="W199" s="136" t="s">
        <v>16</v>
      </c>
      <c r="X199" s="136" t="s">
        <v>194</v>
      </c>
      <c r="Y199" s="136" t="s">
        <v>6092</v>
      </c>
      <c r="Z199" s="137" t="s">
        <v>5978</v>
      </c>
      <c r="AA199" s="136"/>
      <c r="AB199" s="136" t="s">
        <v>5979</v>
      </c>
      <c r="AC199" s="136">
        <v>61</v>
      </c>
      <c r="AD199" s="136">
        <v>59.6</v>
      </c>
      <c r="AE199" s="136">
        <v>62.4</v>
      </c>
      <c r="AF199" s="136"/>
      <c r="AG199" s="350"/>
      <c r="AH199" s="350"/>
      <c r="AI199" s="180" t="s">
        <v>256</v>
      </c>
      <c r="AJ199" s="173"/>
      <c r="AK199" s="173"/>
      <c r="AL199" s="350"/>
      <c r="AM199" s="350"/>
      <c r="AN199" s="180" t="s">
        <v>6084</v>
      </c>
      <c r="AO199" s="137" t="s">
        <v>6086</v>
      </c>
      <c r="AP199" s="137" t="s">
        <v>5969</v>
      </c>
      <c r="AQ199" s="137" t="s">
        <v>37</v>
      </c>
      <c r="AR199" s="139">
        <v>44314</v>
      </c>
      <c r="AS199" s="137"/>
      <c r="AT199" s="358"/>
      <c r="AU199" s="1110"/>
    </row>
    <row r="200" spans="1:47" ht="39" x14ac:dyDescent="0.25">
      <c r="A200" s="488"/>
      <c r="B200" s="131"/>
      <c r="C200" s="75"/>
      <c r="D200" s="568"/>
      <c r="E200" s="568"/>
      <c r="F200" s="75"/>
      <c r="G200" s="563"/>
      <c r="H200" s="118"/>
      <c r="I200" s="121"/>
      <c r="J200" s="188">
        <v>917</v>
      </c>
      <c r="K200" s="76" t="s">
        <v>5976</v>
      </c>
      <c r="L200" s="915">
        <v>1889551.2764999999</v>
      </c>
      <c r="M200" s="915">
        <v>5760967.2290000003</v>
      </c>
      <c r="N200" s="118"/>
      <c r="O200" s="118" t="s">
        <v>6042</v>
      </c>
      <c r="P200" s="75" t="s">
        <v>193</v>
      </c>
      <c r="Q200" s="118"/>
      <c r="R200" s="118"/>
      <c r="S200" s="118"/>
      <c r="T200" s="601" t="s">
        <v>6042</v>
      </c>
      <c r="U200" s="136" t="s">
        <v>10</v>
      </c>
      <c r="V200" s="136" t="s">
        <v>16</v>
      </c>
      <c r="W200" s="136" t="s">
        <v>16</v>
      </c>
      <c r="X200" s="136" t="s">
        <v>194</v>
      </c>
      <c r="Y200" s="136" t="s">
        <v>6093</v>
      </c>
      <c r="Z200" s="137" t="s">
        <v>5978</v>
      </c>
      <c r="AA200" s="136"/>
      <c r="AB200" s="136" t="s">
        <v>5979</v>
      </c>
      <c r="AC200" s="136">
        <v>61</v>
      </c>
      <c r="AD200" s="136">
        <v>59.6</v>
      </c>
      <c r="AE200" s="136">
        <v>62.4</v>
      </c>
      <c r="AF200" s="136"/>
      <c r="AG200" s="350"/>
      <c r="AH200" s="350"/>
      <c r="AI200" s="180" t="s">
        <v>256</v>
      </c>
      <c r="AJ200" s="173"/>
      <c r="AK200" s="173"/>
      <c r="AL200" s="350"/>
      <c r="AM200" s="350"/>
      <c r="AN200" s="180" t="s">
        <v>6084</v>
      </c>
      <c r="AO200" s="137" t="s">
        <v>6086</v>
      </c>
      <c r="AP200" s="137" t="s">
        <v>5969</v>
      </c>
      <c r="AQ200" s="137" t="s">
        <v>37</v>
      </c>
      <c r="AR200" s="139">
        <v>44314</v>
      </c>
      <c r="AS200" s="137"/>
      <c r="AT200" s="358"/>
      <c r="AU200" s="1110"/>
    </row>
    <row r="201" spans="1:47" ht="39.75" thickBot="1" x14ac:dyDescent="0.3">
      <c r="A201" s="489"/>
      <c r="B201" s="133"/>
      <c r="C201" s="78"/>
      <c r="D201" s="569"/>
      <c r="E201" s="569"/>
      <c r="F201" s="78"/>
      <c r="G201" s="602"/>
      <c r="H201" s="119"/>
      <c r="I201" s="429"/>
      <c r="J201" s="192">
        <v>918</v>
      </c>
      <c r="K201" s="79" t="s">
        <v>5977</v>
      </c>
      <c r="L201" s="916">
        <v>1889726.8566999999</v>
      </c>
      <c r="M201" s="916">
        <v>5760805.8766999999</v>
      </c>
      <c r="N201" s="119"/>
      <c r="O201" s="119" t="s">
        <v>6043</v>
      </c>
      <c r="P201" s="78" t="s">
        <v>193</v>
      </c>
      <c r="Q201" s="119"/>
      <c r="R201" s="119"/>
      <c r="S201" s="119"/>
      <c r="T201" s="267" t="s">
        <v>6043</v>
      </c>
      <c r="U201" s="136" t="s">
        <v>10</v>
      </c>
      <c r="V201" s="136" t="s">
        <v>16</v>
      </c>
      <c r="W201" s="136" t="s">
        <v>16</v>
      </c>
      <c r="X201" s="136" t="s">
        <v>194</v>
      </c>
      <c r="Y201" s="136" t="s">
        <v>6094</v>
      </c>
      <c r="Z201" s="137" t="s">
        <v>5978</v>
      </c>
      <c r="AA201" s="136"/>
      <c r="AB201" s="136" t="s">
        <v>5979</v>
      </c>
      <c r="AC201" s="136">
        <v>61</v>
      </c>
      <c r="AD201" s="136">
        <v>59.6</v>
      </c>
      <c r="AE201" s="136">
        <v>62.4</v>
      </c>
      <c r="AF201" s="136"/>
      <c r="AG201" s="350"/>
      <c r="AH201" s="350"/>
      <c r="AI201" s="180" t="s">
        <v>256</v>
      </c>
      <c r="AJ201" s="173"/>
      <c r="AK201" s="173"/>
      <c r="AL201" s="350"/>
      <c r="AM201" s="350"/>
      <c r="AN201" s="180" t="s">
        <v>6084</v>
      </c>
      <c r="AO201" s="137" t="s">
        <v>6086</v>
      </c>
      <c r="AP201" s="137" t="s">
        <v>5969</v>
      </c>
      <c r="AQ201" s="137" t="s">
        <v>37</v>
      </c>
      <c r="AR201" s="139">
        <v>44314</v>
      </c>
      <c r="AS201" s="137"/>
      <c r="AT201" s="358"/>
      <c r="AU201" s="1110"/>
    </row>
    <row r="202" spans="1:47" s="464" customFormat="1" ht="39" x14ac:dyDescent="0.25">
      <c r="A202" s="339" t="s">
        <v>4985</v>
      </c>
      <c r="B202" s="116" t="s">
        <v>4985</v>
      </c>
      <c r="C202" s="95">
        <v>489</v>
      </c>
      <c r="D202" s="567" t="s">
        <v>52</v>
      </c>
      <c r="E202" s="567" t="s">
        <v>53</v>
      </c>
      <c r="F202" s="95" t="s">
        <v>4679</v>
      </c>
      <c r="G202" s="95" t="s">
        <v>1973</v>
      </c>
      <c r="H202" s="108" t="s">
        <v>2277</v>
      </c>
      <c r="I202" s="122" t="s">
        <v>5591</v>
      </c>
      <c r="J202" s="189">
        <v>2107</v>
      </c>
      <c r="K202" s="355" t="s">
        <v>3490</v>
      </c>
      <c r="L202" s="897">
        <v>1801818.2231000001</v>
      </c>
      <c r="M202" s="897">
        <v>5535998.7998000002</v>
      </c>
      <c r="N202" s="126"/>
      <c r="O202" s="126" t="s">
        <v>5646</v>
      </c>
      <c r="P202" s="126" t="s">
        <v>194</v>
      </c>
      <c r="Q202" s="255"/>
      <c r="R202" s="255"/>
      <c r="S202" s="255"/>
      <c r="T202" s="289" t="s">
        <v>5647</v>
      </c>
      <c r="U202" s="288" t="s">
        <v>10</v>
      </c>
      <c r="V202" s="97" t="s">
        <v>16</v>
      </c>
      <c r="W202" s="97" t="s">
        <v>85</v>
      </c>
      <c r="X202" s="97" t="s">
        <v>194</v>
      </c>
      <c r="Y202" s="302" t="s">
        <v>3489</v>
      </c>
      <c r="Z202" s="40" t="s">
        <v>3488</v>
      </c>
      <c r="AA202" s="97">
        <v>1</v>
      </c>
      <c r="AB202" s="302" t="s">
        <v>3484</v>
      </c>
      <c r="AC202" s="97">
        <v>128</v>
      </c>
      <c r="AD202" s="97"/>
      <c r="AE202" s="97"/>
      <c r="AF202" s="97">
        <v>71</v>
      </c>
      <c r="AG202" s="97"/>
      <c r="AH202" s="97"/>
      <c r="AI202" s="30" t="s">
        <v>256</v>
      </c>
      <c r="AJ202" s="97" t="s">
        <v>13</v>
      </c>
      <c r="AK202" s="97"/>
      <c r="AL202" s="97"/>
      <c r="AM202" s="97"/>
      <c r="AN202" s="40" t="s">
        <v>6925</v>
      </c>
      <c r="AO202" s="286" t="s">
        <v>5704</v>
      </c>
      <c r="AP202" s="40" t="s">
        <v>6923</v>
      </c>
      <c r="AQ202" s="40" t="s">
        <v>37</v>
      </c>
      <c r="AR202" s="41">
        <v>43899</v>
      </c>
      <c r="AS202" s="40" t="s">
        <v>37</v>
      </c>
      <c r="AT202" s="285">
        <v>44244</v>
      </c>
      <c r="AU202" s="284" t="s">
        <v>37</v>
      </c>
    </row>
    <row r="203" spans="1:47" s="402" customFormat="1" ht="27" thickBot="1" x14ac:dyDescent="0.3">
      <c r="A203" s="336"/>
      <c r="B203" s="196"/>
      <c r="C203" s="96"/>
      <c r="D203" s="566"/>
      <c r="E203" s="566"/>
      <c r="F203" s="96"/>
      <c r="G203" s="96"/>
      <c r="H203" s="107"/>
      <c r="I203" s="123"/>
      <c r="J203" s="190">
        <v>2108</v>
      </c>
      <c r="K203" s="357" t="s">
        <v>3493</v>
      </c>
      <c r="L203" s="898">
        <v>1798130.9084999999</v>
      </c>
      <c r="M203" s="898">
        <v>5519697.8112000003</v>
      </c>
      <c r="N203" s="107"/>
      <c r="O203" s="107" t="s">
        <v>1315</v>
      </c>
      <c r="P203" s="107" t="s">
        <v>194</v>
      </c>
      <c r="Q203" s="262"/>
      <c r="R203" s="262"/>
      <c r="S203" s="262"/>
      <c r="T203" s="274" t="s">
        <v>3492</v>
      </c>
      <c r="U203" s="273" t="s">
        <v>10</v>
      </c>
      <c r="V203" s="120" t="s">
        <v>16</v>
      </c>
      <c r="W203" s="120" t="s">
        <v>85</v>
      </c>
      <c r="X203" s="120" t="s">
        <v>194</v>
      </c>
      <c r="Y203" s="317" t="s">
        <v>1609</v>
      </c>
      <c r="Z203" s="52" t="s">
        <v>3488</v>
      </c>
      <c r="AA203" s="120">
        <v>2</v>
      </c>
      <c r="AB203" s="317" t="s">
        <v>3484</v>
      </c>
      <c r="AC203" s="120">
        <v>128</v>
      </c>
      <c r="AD203" s="120"/>
      <c r="AE203" s="120"/>
      <c r="AF203" s="120">
        <v>71</v>
      </c>
      <c r="AG203" s="120"/>
      <c r="AH203" s="120"/>
      <c r="AI203" s="51" t="s">
        <v>256</v>
      </c>
      <c r="AJ203" s="120" t="s">
        <v>13</v>
      </c>
      <c r="AK203" s="120"/>
      <c r="AL203" s="120"/>
      <c r="AM203" s="120"/>
      <c r="AN203" s="51" t="s">
        <v>5703</v>
      </c>
      <c r="AO203" s="271" t="s">
        <v>3491</v>
      </c>
      <c r="AP203" s="52" t="s">
        <v>6924</v>
      </c>
      <c r="AQ203" s="52" t="s">
        <v>3457</v>
      </c>
      <c r="AR203" s="53">
        <v>44134</v>
      </c>
      <c r="AS203" s="52" t="s">
        <v>3457</v>
      </c>
      <c r="AT203" s="270">
        <v>44244</v>
      </c>
      <c r="AU203" s="269" t="s">
        <v>37</v>
      </c>
    </row>
    <row r="204" spans="1:47" ht="39.75" thickBot="1" x14ac:dyDescent="0.3">
      <c r="A204" s="345" t="s">
        <v>5475</v>
      </c>
      <c r="B204" s="331" t="s">
        <v>6791</v>
      </c>
      <c r="C204" s="83" t="s">
        <v>2156</v>
      </c>
      <c r="D204" s="588" t="s">
        <v>2156</v>
      </c>
      <c r="E204" s="588" t="s">
        <v>2156</v>
      </c>
      <c r="F204" s="83" t="s">
        <v>2156</v>
      </c>
      <c r="G204" s="83" t="s">
        <v>2156</v>
      </c>
      <c r="H204" s="199" t="s">
        <v>2156</v>
      </c>
      <c r="I204" s="395" t="s">
        <v>2156</v>
      </c>
      <c r="J204" s="87">
        <v>2420</v>
      </c>
      <c r="K204" s="360" t="s">
        <v>5476</v>
      </c>
      <c r="L204" s="198">
        <v>1876472.9550999999</v>
      </c>
      <c r="M204" s="198">
        <v>5583611.2851999998</v>
      </c>
      <c r="N204" s="199">
        <v>160</v>
      </c>
      <c r="O204" s="199" t="s">
        <v>5477</v>
      </c>
      <c r="P204" s="83" t="s">
        <v>194</v>
      </c>
      <c r="Q204" s="199">
        <v>0.25</v>
      </c>
      <c r="R204" s="199">
        <v>0.4</v>
      </c>
      <c r="S204" s="199"/>
      <c r="T204" s="332" t="s">
        <v>6011</v>
      </c>
      <c r="U204" s="85" t="s">
        <v>16</v>
      </c>
      <c r="V204" s="86" t="s">
        <v>85</v>
      </c>
      <c r="W204" s="86" t="s">
        <v>16</v>
      </c>
      <c r="X204" s="86" t="s">
        <v>194</v>
      </c>
      <c r="Y204" s="106" t="s">
        <v>3500</v>
      </c>
      <c r="Z204" s="208" t="s">
        <v>289</v>
      </c>
      <c r="AA204" s="86">
        <v>2</v>
      </c>
      <c r="AB204" s="106" t="s">
        <v>5156</v>
      </c>
      <c r="AC204" s="86">
        <v>12</v>
      </c>
      <c r="AD204" s="86"/>
      <c r="AE204" s="86"/>
      <c r="AF204" s="86">
        <v>10</v>
      </c>
      <c r="AG204" s="387"/>
      <c r="AH204" s="387"/>
      <c r="AI204" s="94" t="s">
        <v>256</v>
      </c>
      <c r="AJ204" s="86" t="s">
        <v>3459</v>
      </c>
      <c r="AK204" s="86"/>
      <c r="AL204" s="387"/>
      <c r="AM204" s="387"/>
      <c r="AN204" s="92" t="s">
        <v>6012</v>
      </c>
      <c r="AO204" s="292" t="s">
        <v>5699</v>
      </c>
      <c r="AP204" s="92" t="s">
        <v>5403</v>
      </c>
      <c r="AQ204" s="92" t="s">
        <v>3457</v>
      </c>
      <c r="AR204" s="93">
        <v>44246</v>
      </c>
      <c r="AS204" s="92" t="s">
        <v>37</v>
      </c>
      <c r="AT204" s="93">
        <v>44267</v>
      </c>
      <c r="AU204" s="1108" t="s">
        <v>37</v>
      </c>
    </row>
    <row r="205" spans="1:47" s="135" customFormat="1" ht="39" x14ac:dyDescent="0.25">
      <c r="A205" s="339" t="s">
        <v>641</v>
      </c>
      <c r="B205" s="116" t="s">
        <v>6807</v>
      </c>
      <c r="C205" s="95">
        <v>547</v>
      </c>
      <c r="D205" s="567" t="s">
        <v>53</v>
      </c>
      <c r="E205" s="567"/>
      <c r="F205" s="95" t="s">
        <v>152</v>
      </c>
      <c r="G205" s="146" t="s">
        <v>1974</v>
      </c>
      <c r="H205" s="108" t="s">
        <v>793</v>
      </c>
      <c r="I205" s="122" t="s">
        <v>2246</v>
      </c>
      <c r="J205" s="189">
        <v>117</v>
      </c>
      <c r="K205" s="355" t="s">
        <v>699</v>
      </c>
      <c r="L205" s="911">
        <v>1629104.6336999999</v>
      </c>
      <c r="M205" s="911">
        <v>5305342.9877000004</v>
      </c>
      <c r="N205" s="126"/>
      <c r="O205" s="126" t="s">
        <v>708</v>
      </c>
      <c r="P205" s="126" t="s">
        <v>5</v>
      </c>
      <c r="Q205" s="126"/>
      <c r="R205" s="126"/>
      <c r="S205" s="126"/>
      <c r="T205" s="344" t="s">
        <v>2247</v>
      </c>
      <c r="U205" s="169" t="s">
        <v>85</v>
      </c>
      <c r="V205" s="151" t="s">
        <v>85</v>
      </c>
      <c r="W205" s="151" t="s">
        <v>85</v>
      </c>
      <c r="X205" s="153" t="s">
        <v>5</v>
      </c>
      <c r="Y205" s="151" t="s">
        <v>718</v>
      </c>
      <c r="Z205" s="152" t="s">
        <v>727</v>
      </c>
      <c r="AA205" s="153" t="s">
        <v>419</v>
      </c>
      <c r="AB205" s="153" t="s">
        <v>375</v>
      </c>
      <c r="AC205" s="151">
        <v>14</v>
      </c>
      <c r="AD205" s="151">
        <v>12</v>
      </c>
      <c r="AE205" s="151">
        <v>16</v>
      </c>
      <c r="AF205" s="151"/>
      <c r="AG205" s="151"/>
      <c r="AH205" s="151"/>
      <c r="AI205" s="203" t="s">
        <v>256</v>
      </c>
      <c r="AJ205" s="202"/>
      <c r="AK205" s="202"/>
      <c r="AL205" s="442"/>
      <c r="AM205" s="442"/>
      <c r="AN205" s="203" t="s">
        <v>733</v>
      </c>
      <c r="AO205" s="203" t="s">
        <v>736</v>
      </c>
      <c r="AP205" s="40" t="s">
        <v>738</v>
      </c>
      <c r="AQ205" s="40" t="s">
        <v>37</v>
      </c>
      <c r="AR205" s="170">
        <v>44062</v>
      </c>
      <c r="AS205" s="40" t="s">
        <v>37</v>
      </c>
      <c r="AT205" s="361"/>
      <c r="AU205" s="1112"/>
    </row>
    <row r="206" spans="1:47" s="135" customFormat="1" ht="26.25" x14ac:dyDescent="0.25">
      <c r="A206" s="339"/>
      <c r="B206" s="116"/>
      <c r="C206" s="95"/>
      <c r="D206" s="567"/>
      <c r="E206" s="567"/>
      <c r="F206" s="95"/>
      <c r="G206" s="146"/>
      <c r="H206" s="108"/>
      <c r="I206" s="122"/>
      <c r="J206" s="191">
        <v>118</v>
      </c>
      <c r="K206" s="359" t="s">
        <v>700</v>
      </c>
      <c r="L206" s="913">
        <v>1628959.8635</v>
      </c>
      <c r="M206" s="913">
        <v>5305316.9759999998</v>
      </c>
      <c r="N206" s="108"/>
      <c r="O206" s="108" t="s">
        <v>709</v>
      </c>
      <c r="P206" s="108" t="s">
        <v>61</v>
      </c>
      <c r="Q206" s="108"/>
      <c r="R206" s="108"/>
      <c r="S206" s="108"/>
      <c r="T206" s="184" t="s">
        <v>4699</v>
      </c>
      <c r="U206" s="138" t="s">
        <v>85</v>
      </c>
      <c r="V206" s="136" t="s">
        <v>16</v>
      </c>
      <c r="W206" s="136" t="s">
        <v>85</v>
      </c>
      <c r="X206" s="132" t="s">
        <v>61</v>
      </c>
      <c r="Y206" s="132" t="s">
        <v>719</v>
      </c>
      <c r="Z206" s="137" t="s">
        <v>407</v>
      </c>
      <c r="AA206" s="132" t="s">
        <v>419</v>
      </c>
      <c r="AB206" s="132" t="s">
        <v>409</v>
      </c>
      <c r="AC206" s="136">
        <v>10.84</v>
      </c>
      <c r="AD206" s="136">
        <v>8.9499999999999993</v>
      </c>
      <c r="AE206" s="136">
        <v>12.73</v>
      </c>
      <c r="AF206" s="136"/>
      <c r="AG206" s="136"/>
      <c r="AH206" s="136"/>
      <c r="AI206" s="180" t="s">
        <v>376</v>
      </c>
      <c r="AJ206" s="173"/>
      <c r="AK206" s="173"/>
      <c r="AL206" s="350"/>
      <c r="AM206" s="350"/>
      <c r="AN206" s="180" t="s">
        <v>735</v>
      </c>
      <c r="AO206" s="45" t="s">
        <v>660</v>
      </c>
      <c r="AP206" s="46" t="s">
        <v>738</v>
      </c>
      <c r="AQ206" s="46" t="s">
        <v>37</v>
      </c>
      <c r="AR206" s="139">
        <v>44062</v>
      </c>
      <c r="AS206" s="46" t="s">
        <v>37</v>
      </c>
      <c r="AT206" s="358"/>
      <c r="AU206" s="1110"/>
    </row>
    <row r="207" spans="1:47" s="135" customFormat="1" ht="26.25" x14ac:dyDescent="0.25">
      <c r="A207" s="339"/>
      <c r="B207" s="116"/>
      <c r="C207" s="95"/>
      <c r="D207" s="567"/>
      <c r="E207" s="567"/>
      <c r="F207" s="95"/>
      <c r="G207" s="146"/>
      <c r="H207" s="108"/>
      <c r="I207" s="122"/>
      <c r="J207" s="191">
        <v>119</v>
      </c>
      <c r="K207" s="359" t="s">
        <v>701</v>
      </c>
      <c r="L207" s="913">
        <v>1629177.0984</v>
      </c>
      <c r="M207" s="913">
        <v>5305368.4426999995</v>
      </c>
      <c r="N207" s="108"/>
      <c r="O207" s="108" t="s">
        <v>710</v>
      </c>
      <c r="P207" s="108" t="s">
        <v>61</v>
      </c>
      <c r="Q207" s="108"/>
      <c r="R207" s="108"/>
      <c r="S207" s="108"/>
      <c r="T207" s="184" t="s">
        <v>4700</v>
      </c>
      <c r="U207" s="138" t="s">
        <v>85</v>
      </c>
      <c r="V207" s="136" t="s">
        <v>16</v>
      </c>
      <c r="W207" s="136" t="s">
        <v>85</v>
      </c>
      <c r="X207" s="132" t="s">
        <v>61</v>
      </c>
      <c r="Y207" s="132" t="s">
        <v>720</v>
      </c>
      <c r="Z207" s="137" t="s">
        <v>407</v>
      </c>
      <c r="AA207" s="132" t="s">
        <v>419</v>
      </c>
      <c r="AB207" s="132" t="s">
        <v>728</v>
      </c>
      <c r="AC207" s="136">
        <v>8.49</v>
      </c>
      <c r="AD207" s="136">
        <v>7.11</v>
      </c>
      <c r="AE207" s="136">
        <v>9.870000000000001</v>
      </c>
      <c r="AF207" s="136"/>
      <c r="AG207" s="136"/>
      <c r="AH207" s="136"/>
      <c r="AI207" s="180" t="s">
        <v>376</v>
      </c>
      <c r="AJ207" s="173"/>
      <c r="AK207" s="173"/>
      <c r="AL207" s="350"/>
      <c r="AM207" s="350"/>
      <c r="AN207" s="180" t="s">
        <v>735</v>
      </c>
      <c r="AO207" s="45" t="s">
        <v>660</v>
      </c>
      <c r="AP207" s="46" t="s">
        <v>738</v>
      </c>
      <c r="AQ207" s="46" t="s">
        <v>37</v>
      </c>
      <c r="AR207" s="139">
        <v>44062</v>
      </c>
      <c r="AS207" s="46" t="s">
        <v>37</v>
      </c>
      <c r="AT207" s="358"/>
      <c r="AU207" s="1110"/>
    </row>
    <row r="208" spans="1:47" s="135" customFormat="1" ht="26.25" x14ac:dyDescent="0.25">
      <c r="A208" s="339"/>
      <c r="B208" s="116"/>
      <c r="C208" s="95"/>
      <c r="D208" s="567"/>
      <c r="E208" s="567"/>
      <c r="F208" s="95"/>
      <c r="G208" s="146"/>
      <c r="H208" s="108"/>
      <c r="I208" s="122"/>
      <c r="J208" s="191">
        <v>120</v>
      </c>
      <c r="K208" s="359" t="s">
        <v>702</v>
      </c>
      <c r="L208" s="913">
        <v>1629220.8019999999</v>
      </c>
      <c r="M208" s="913">
        <v>5305384.8132999996</v>
      </c>
      <c r="N208" s="108"/>
      <c r="O208" s="108" t="s">
        <v>711</v>
      </c>
      <c r="P208" s="108" t="s">
        <v>61</v>
      </c>
      <c r="Q208" s="108"/>
      <c r="R208" s="108"/>
      <c r="S208" s="108"/>
      <c r="T208" s="184" t="s">
        <v>4701</v>
      </c>
      <c r="U208" s="138" t="s">
        <v>85</v>
      </c>
      <c r="V208" s="136" t="s">
        <v>16</v>
      </c>
      <c r="W208" s="136" t="s">
        <v>85</v>
      </c>
      <c r="X208" s="132" t="s">
        <v>61</v>
      </c>
      <c r="Y208" s="132" t="s">
        <v>721</v>
      </c>
      <c r="Z208" s="137" t="s">
        <v>407</v>
      </c>
      <c r="AA208" s="132" t="s">
        <v>419</v>
      </c>
      <c r="AB208" s="132" t="s">
        <v>729</v>
      </c>
      <c r="AC208" s="136">
        <v>6.72</v>
      </c>
      <c r="AD208" s="136">
        <v>5.71</v>
      </c>
      <c r="AE208" s="136">
        <v>7.7299999999999995</v>
      </c>
      <c r="AF208" s="136"/>
      <c r="AG208" s="136"/>
      <c r="AH208" s="136"/>
      <c r="AI208" s="180" t="s">
        <v>376</v>
      </c>
      <c r="AJ208" s="173"/>
      <c r="AK208" s="173"/>
      <c r="AL208" s="350"/>
      <c r="AM208" s="350"/>
      <c r="AN208" s="180" t="s">
        <v>735</v>
      </c>
      <c r="AO208" s="45" t="s">
        <v>660</v>
      </c>
      <c r="AP208" s="46" t="s">
        <v>738</v>
      </c>
      <c r="AQ208" s="46" t="s">
        <v>37</v>
      </c>
      <c r="AR208" s="139">
        <v>44062</v>
      </c>
      <c r="AS208" s="46" t="s">
        <v>37</v>
      </c>
      <c r="AT208" s="358"/>
      <c r="AU208" s="1110"/>
    </row>
    <row r="209" spans="1:47" s="135" customFormat="1" ht="39" x14ac:dyDescent="0.25">
      <c r="A209" s="339"/>
      <c r="B209" s="116"/>
      <c r="C209" s="95"/>
      <c r="D209" s="567"/>
      <c r="E209" s="567"/>
      <c r="F209" s="95"/>
      <c r="G209" s="146"/>
      <c r="H209" s="108"/>
      <c r="I209" s="122"/>
      <c r="J209" s="191">
        <v>121</v>
      </c>
      <c r="K209" s="359" t="s">
        <v>703</v>
      </c>
      <c r="L209" s="913">
        <v>1629341.7009000001</v>
      </c>
      <c r="M209" s="913">
        <v>5305419.9815999996</v>
      </c>
      <c r="N209" s="108"/>
      <c r="O209" s="108" t="s">
        <v>712</v>
      </c>
      <c r="P209" s="108" t="s">
        <v>5</v>
      </c>
      <c r="Q209" s="108"/>
      <c r="R209" s="108"/>
      <c r="S209" s="108"/>
      <c r="T209" s="108" t="s">
        <v>717</v>
      </c>
      <c r="U209" s="138" t="s">
        <v>85</v>
      </c>
      <c r="V209" s="136" t="s">
        <v>16</v>
      </c>
      <c r="W209" s="136" t="s">
        <v>85</v>
      </c>
      <c r="X209" s="132" t="s">
        <v>5</v>
      </c>
      <c r="Y209" s="136" t="s">
        <v>722</v>
      </c>
      <c r="Z209" s="137" t="s">
        <v>407</v>
      </c>
      <c r="AA209" s="132" t="s">
        <v>419</v>
      </c>
      <c r="AB209" s="132" t="s">
        <v>397</v>
      </c>
      <c r="AC209" s="136">
        <v>6.29</v>
      </c>
      <c r="AD209" s="136">
        <v>5.36</v>
      </c>
      <c r="AE209" s="136">
        <v>7.22</v>
      </c>
      <c r="AF209" s="136"/>
      <c r="AG209" s="136"/>
      <c r="AH209" s="136"/>
      <c r="AI209" s="180" t="s">
        <v>376</v>
      </c>
      <c r="AJ209" s="173"/>
      <c r="AK209" s="173"/>
      <c r="AL209" s="350"/>
      <c r="AM209" s="350"/>
      <c r="AN209" s="180" t="s">
        <v>734</v>
      </c>
      <c r="AO209" s="45" t="s">
        <v>660</v>
      </c>
      <c r="AP209" s="46" t="s">
        <v>738</v>
      </c>
      <c r="AQ209" s="46" t="s">
        <v>37</v>
      </c>
      <c r="AR209" s="139">
        <v>44062</v>
      </c>
      <c r="AS209" s="46" t="s">
        <v>37</v>
      </c>
      <c r="AT209" s="358"/>
      <c r="AU209" s="1110"/>
    </row>
    <row r="210" spans="1:47" s="135" customFormat="1" ht="26.25" x14ac:dyDescent="0.25">
      <c r="A210" s="339"/>
      <c r="B210" s="116"/>
      <c r="C210" s="95"/>
      <c r="D210" s="567"/>
      <c r="E210" s="567"/>
      <c r="F210" s="95"/>
      <c r="G210" s="146"/>
      <c r="H210" s="108"/>
      <c r="I210" s="122"/>
      <c r="J210" s="191">
        <v>122</v>
      </c>
      <c r="K210" s="359" t="s">
        <v>704</v>
      </c>
      <c r="L210" s="913">
        <v>1629392.2659</v>
      </c>
      <c r="M210" s="913">
        <v>5305435.1147999996</v>
      </c>
      <c r="N210" s="108"/>
      <c r="O210" s="108" t="s">
        <v>713</v>
      </c>
      <c r="P210" s="108" t="s">
        <v>61</v>
      </c>
      <c r="Q210" s="108"/>
      <c r="R210" s="108"/>
      <c r="S210" s="108"/>
      <c r="T210" s="184" t="s">
        <v>4702</v>
      </c>
      <c r="U210" s="138" t="s">
        <v>85</v>
      </c>
      <c r="V210" s="136" t="s">
        <v>16</v>
      </c>
      <c r="W210" s="136" t="s">
        <v>85</v>
      </c>
      <c r="X210" s="132" t="s">
        <v>61</v>
      </c>
      <c r="Y210" s="132" t="s">
        <v>723</v>
      </c>
      <c r="Z210" s="137" t="s">
        <v>407</v>
      </c>
      <c r="AA210" s="132" t="s">
        <v>419</v>
      </c>
      <c r="AB210" s="132" t="s">
        <v>404</v>
      </c>
      <c r="AC210" s="136">
        <v>5.46</v>
      </c>
      <c r="AD210" s="136">
        <v>4.6899999999999995</v>
      </c>
      <c r="AE210" s="136">
        <v>6.23</v>
      </c>
      <c r="AF210" s="136"/>
      <c r="AG210" s="136"/>
      <c r="AH210" s="136"/>
      <c r="AI210" s="180" t="s">
        <v>376</v>
      </c>
      <c r="AJ210" s="173"/>
      <c r="AK210" s="173"/>
      <c r="AL210" s="350"/>
      <c r="AM210" s="350"/>
      <c r="AN210" s="180" t="s">
        <v>735</v>
      </c>
      <c r="AO210" s="45" t="s">
        <v>660</v>
      </c>
      <c r="AP210" s="46" t="s">
        <v>738</v>
      </c>
      <c r="AQ210" s="46" t="s">
        <v>37</v>
      </c>
      <c r="AR210" s="139">
        <v>44062</v>
      </c>
      <c r="AS210" s="46" t="s">
        <v>37</v>
      </c>
      <c r="AT210" s="358"/>
      <c r="AU210" s="1110"/>
    </row>
    <row r="211" spans="1:47" s="135" customFormat="1" ht="26.25" x14ac:dyDescent="0.25">
      <c r="A211" s="339"/>
      <c r="B211" s="116"/>
      <c r="C211" s="95"/>
      <c r="D211" s="567"/>
      <c r="E211" s="567"/>
      <c r="F211" s="95"/>
      <c r="G211" s="146"/>
      <c r="H211" s="108"/>
      <c r="I211" s="122"/>
      <c r="J211" s="191">
        <v>123</v>
      </c>
      <c r="K211" s="359" t="s">
        <v>705</v>
      </c>
      <c r="L211" s="913">
        <v>1629466.3199</v>
      </c>
      <c r="M211" s="913">
        <v>5305461.2566999998</v>
      </c>
      <c r="N211" s="108"/>
      <c r="O211" s="108" t="s">
        <v>714</v>
      </c>
      <c r="P211" s="108" t="s">
        <v>61</v>
      </c>
      <c r="Q211" s="108"/>
      <c r="R211" s="108"/>
      <c r="S211" s="108"/>
      <c r="T211" s="184" t="s">
        <v>4703</v>
      </c>
      <c r="U211" s="138" t="s">
        <v>16</v>
      </c>
      <c r="V211" s="136" t="s">
        <v>16</v>
      </c>
      <c r="W211" s="136" t="s">
        <v>16</v>
      </c>
      <c r="X211" s="132" t="s">
        <v>61</v>
      </c>
      <c r="Y211" s="132" t="s">
        <v>724</v>
      </c>
      <c r="Z211" s="137" t="s">
        <v>407</v>
      </c>
      <c r="AA211" s="132" t="s">
        <v>419</v>
      </c>
      <c r="AB211" s="132" t="s">
        <v>730</v>
      </c>
      <c r="AC211" s="136">
        <v>4.66</v>
      </c>
      <c r="AD211" s="136">
        <v>4.04</v>
      </c>
      <c r="AE211" s="136">
        <v>5.28</v>
      </c>
      <c r="AF211" s="136"/>
      <c r="AG211" s="136"/>
      <c r="AH211" s="136"/>
      <c r="AI211" s="180" t="s">
        <v>376</v>
      </c>
      <c r="AJ211" s="173"/>
      <c r="AK211" s="173"/>
      <c r="AL211" s="350"/>
      <c r="AM211" s="350"/>
      <c r="AN211" s="180" t="s">
        <v>384</v>
      </c>
      <c r="AO211" s="45" t="s">
        <v>660</v>
      </c>
      <c r="AP211" s="46" t="s">
        <v>738</v>
      </c>
      <c r="AQ211" s="46" t="s">
        <v>37</v>
      </c>
      <c r="AR211" s="139">
        <v>44062</v>
      </c>
      <c r="AS211" s="46" t="s">
        <v>37</v>
      </c>
      <c r="AT211" s="358"/>
      <c r="AU211" s="1110"/>
    </row>
    <row r="212" spans="1:47" s="135" customFormat="1" ht="26.25" x14ac:dyDescent="0.25">
      <c r="A212" s="339"/>
      <c r="B212" s="116"/>
      <c r="C212" s="95"/>
      <c r="D212" s="567"/>
      <c r="E212" s="567"/>
      <c r="F212" s="95"/>
      <c r="G212" s="146"/>
      <c r="H212" s="108"/>
      <c r="I212" s="122"/>
      <c r="J212" s="191">
        <v>124</v>
      </c>
      <c r="K212" s="359" t="s">
        <v>706</v>
      </c>
      <c r="L212" s="913">
        <v>1629486.9574</v>
      </c>
      <c r="M212" s="913">
        <v>5305466.8129000003</v>
      </c>
      <c r="N212" s="108"/>
      <c r="O212" s="108" t="s">
        <v>715</v>
      </c>
      <c r="P212" s="108" t="s">
        <v>61</v>
      </c>
      <c r="Q212" s="108"/>
      <c r="R212" s="108"/>
      <c r="S212" s="108"/>
      <c r="T212" s="184" t="s">
        <v>4704</v>
      </c>
      <c r="U212" s="138" t="s">
        <v>16</v>
      </c>
      <c r="V212" s="136" t="s">
        <v>16</v>
      </c>
      <c r="W212" s="136" t="s">
        <v>16</v>
      </c>
      <c r="X212" s="132" t="s">
        <v>61</v>
      </c>
      <c r="Y212" s="132" t="s">
        <v>725</v>
      </c>
      <c r="Z212" s="137" t="s">
        <v>407</v>
      </c>
      <c r="AA212" s="132" t="s">
        <v>419</v>
      </c>
      <c r="AB212" s="132" t="s">
        <v>731</v>
      </c>
      <c r="AC212" s="136">
        <v>3.9</v>
      </c>
      <c r="AD212" s="136">
        <v>3.5</v>
      </c>
      <c r="AE212" s="136">
        <v>4.3</v>
      </c>
      <c r="AF212" s="136"/>
      <c r="AG212" s="136"/>
      <c r="AH212" s="136"/>
      <c r="AI212" s="180" t="s">
        <v>376</v>
      </c>
      <c r="AJ212" s="173"/>
      <c r="AK212" s="173"/>
      <c r="AL212" s="350"/>
      <c r="AM212" s="350"/>
      <c r="AN212" s="180" t="s">
        <v>384</v>
      </c>
      <c r="AO212" s="45" t="s">
        <v>660</v>
      </c>
      <c r="AP212" s="46" t="s">
        <v>738</v>
      </c>
      <c r="AQ212" s="46" t="s">
        <v>37</v>
      </c>
      <c r="AR212" s="139">
        <v>44062</v>
      </c>
      <c r="AS212" s="46" t="s">
        <v>37</v>
      </c>
      <c r="AT212" s="358"/>
      <c r="AU212" s="1110"/>
    </row>
    <row r="213" spans="1:47" s="135" customFormat="1" ht="27" thickBot="1" x14ac:dyDescent="0.3">
      <c r="A213" s="339"/>
      <c r="B213" s="116"/>
      <c r="C213" s="95"/>
      <c r="D213" s="567"/>
      <c r="E213" s="567"/>
      <c r="F213" s="95"/>
      <c r="G213" s="146"/>
      <c r="H213" s="108"/>
      <c r="I213" s="122"/>
      <c r="J213" s="190">
        <v>125</v>
      </c>
      <c r="K213" s="357" t="s">
        <v>707</v>
      </c>
      <c r="L213" s="912">
        <v>1628937.9458999999</v>
      </c>
      <c r="M213" s="912">
        <v>5305301.1834000004</v>
      </c>
      <c r="N213" s="107"/>
      <c r="O213" s="107" t="s">
        <v>716</v>
      </c>
      <c r="P213" s="107" t="s">
        <v>61</v>
      </c>
      <c r="Q213" s="107"/>
      <c r="R213" s="107"/>
      <c r="S213" s="107"/>
      <c r="T213" s="127" t="s">
        <v>4705</v>
      </c>
      <c r="U213" s="171" t="s">
        <v>16</v>
      </c>
      <c r="V213" s="154" t="s">
        <v>16</v>
      </c>
      <c r="W213" s="154" t="s">
        <v>16</v>
      </c>
      <c r="X213" s="156" t="s">
        <v>61</v>
      </c>
      <c r="Y213" s="156" t="s">
        <v>726</v>
      </c>
      <c r="Z213" s="155" t="s">
        <v>24</v>
      </c>
      <c r="AA213" s="156" t="s">
        <v>419</v>
      </c>
      <c r="AB213" s="156" t="s">
        <v>732</v>
      </c>
      <c r="AC213" s="154">
        <v>0.77</v>
      </c>
      <c r="AD213" s="154">
        <v>0.71799999999999997</v>
      </c>
      <c r="AE213" s="154">
        <v>0.82200000000000006</v>
      </c>
      <c r="AF213" s="154"/>
      <c r="AG213" s="154"/>
      <c r="AH213" s="154"/>
      <c r="AI213" s="183" t="s">
        <v>549</v>
      </c>
      <c r="AJ213" s="201"/>
      <c r="AK213" s="201"/>
      <c r="AL213" s="443"/>
      <c r="AM213" s="443"/>
      <c r="AN213" s="183" t="s">
        <v>384</v>
      </c>
      <c r="AO213" s="51" t="s">
        <v>737</v>
      </c>
      <c r="AP213" s="52" t="s">
        <v>738</v>
      </c>
      <c r="AQ213" s="52" t="s">
        <v>37</v>
      </c>
      <c r="AR213" s="172">
        <v>44062</v>
      </c>
      <c r="AS213" s="52" t="s">
        <v>37</v>
      </c>
      <c r="AT213" s="362"/>
      <c r="AU213" s="1111"/>
    </row>
    <row r="214" spans="1:47" s="135" customFormat="1" ht="39" x14ac:dyDescent="0.25">
      <c r="A214" s="339"/>
      <c r="B214" s="116"/>
      <c r="C214" s="95"/>
      <c r="D214" s="567"/>
      <c r="E214" s="567"/>
      <c r="F214" s="95"/>
      <c r="G214" s="146"/>
      <c r="H214" s="108"/>
      <c r="I214" s="122"/>
      <c r="J214" s="189">
        <v>133</v>
      </c>
      <c r="K214" s="355" t="s">
        <v>779</v>
      </c>
      <c r="L214" s="911">
        <v>1597771.9831000001</v>
      </c>
      <c r="M214" s="911">
        <v>5290446.2624000004</v>
      </c>
      <c r="N214" s="126"/>
      <c r="O214" s="126"/>
      <c r="P214" s="126" t="s">
        <v>5</v>
      </c>
      <c r="Q214" s="126"/>
      <c r="R214" s="126"/>
      <c r="S214" s="126"/>
      <c r="T214" s="344" t="s">
        <v>793</v>
      </c>
      <c r="U214" s="169" t="s">
        <v>10</v>
      </c>
      <c r="V214" s="151" t="s">
        <v>10</v>
      </c>
      <c r="W214" s="151" t="s">
        <v>10</v>
      </c>
      <c r="X214" s="153" t="s">
        <v>5</v>
      </c>
      <c r="Y214" s="153" t="s">
        <v>783</v>
      </c>
      <c r="Z214" s="152" t="s">
        <v>24</v>
      </c>
      <c r="AA214" s="153">
        <v>1</v>
      </c>
      <c r="AB214" s="153" t="s">
        <v>4201</v>
      </c>
      <c r="AC214" s="151">
        <f>AD214+(AE214-AD214)/2</f>
        <v>9.4260000000000002</v>
      </c>
      <c r="AD214" s="153">
        <v>9.3369999999999997</v>
      </c>
      <c r="AE214" s="151">
        <v>9.5150000000000006</v>
      </c>
      <c r="AF214" s="151"/>
      <c r="AG214" s="151"/>
      <c r="AH214" s="151"/>
      <c r="AI214" s="203" t="s">
        <v>789</v>
      </c>
      <c r="AJ214" s="202"/>
      <c r="AK214" s="202"/>
      <c r="AL214" s="442"/>
      <c r="AM214" s="442"/>
      <c r="AN214" s="203" t="s">
        <v>791</v>
      </c>
      <c r="AO214" s="30" t="s">
        <v>821</v>
      </c>
      <c r="AP214" s="40" t="s">
        <v>4236</v>
      </c>
      <c r="AQ214" s="40" t="s">
        <v>37</v>
      </c>
      <c r="AR214" s="170">
        <v>44064</v>
      </c>
      <c r="AS214" s="40" t="s">
        <v>37</v>
      </c>
      <c r="AT214" s="361"/>
      <c r="AU214" s="1112"/>
    </row>
    <row r="215" spans="1:47" s="135" customFormat="1" ht="39" x14ac:dyDescent="0.25">
      <c r="A215" s="339"/>
      <c r="B215" s="116"/>
      <c r="C215" s="95"/>
      <c r="D215" s="567"/>
      <c r="E215" s="567"/>
      <c r="F215" s="95"/>
      <c r="G215" s="146"/>
      <c r="H215" s="108"/>
      <c r="I215" s="122"/>
      <c r="J215" s="191">
        <v>134</v>
      </c>
      <c r="K215" s="359" t="s">
        <v>780</v>
      </c>
      <c r="L215" s="913">
        <v>1597732.8030000001</v>
      </c>
      <c r="M215" s="913">
        <v>5290433.4959000004</v>
      </c>
      <c r="N215" s="108"/>
      <c r="O215" s="108"/>
      <c r="P215" s="108" t="s">
        <v>5</v>
      </c>
      <c r="Q215" s="108"/>
      <c r="R215" s="108"/>
      <c r="S215" s="108"/>
      <c r="T215" s="184" t="s">
        <v>794</v>
      </c>
      <c r="U215" s="138" t="s">
        <v>10</v>
      </c>
      <c r="V215" s="136" t="s">
        <v>10</v>
      </c>
      <c r="W215" s="136" t="s">
        <v>10</v>
      </c>
      <c r="X215" s="132" t="s">
        <v>5</v>
      </c>
      <c r="Y215" s="132" t="s">
        <v>784</v>
      </c>
      <c r="Z215" s="137" t="s">
        <v>24</v>
      </c>
      <c r="AA215" s="132">
        <v>1</v>
      </c>
      <c r="AB215" s="132" t="s">
        <v>787</v>
      </c>
      <c r="AC215" s="136"/>
      <c r="AD215" s="132">
        <v>5.4089999999999998</v>
      </c>
      <c r="AE215" s="132">
        <v>5.5030000000000001</v>
      </c>
      <c r="AF215" s="136"/>
      <c r="AG215" s="136"/>
      <c r="AH215" s="136"/>
      <c r="AI215" s="180" t="s">
        <v>789</v>
      </c>
      <c r="AJ215" s="173"/>
      <c r="AK215" s="173"/>
      <c r="AL215" s="350"/>
      <c r="AM215" s="350"/>
      <c r="AN215" s="180" t="s">
        <v>791</v>
      </c>
      <c r="AO215" s="45" t="s">
        <v>821</v>
      </c>
      <c r="AP215" s="46" t="s">
        <v>4236</v>
      </c>
      <c r="AQ215" s="46" t="s">
        <v>37</v>
      </c>
      <c r="AR215" s="139">
        <v>44064</v>
      </c>
      <c r="AS215" s="46" t="s">
        <v>37</v>
      </c>
      <c r="AT215" s="358"/>
      <c r="AU215" s="1110"/>
    </row>
    <row r="216" spans="1:47" s="135" customFormat="1" ht="39" x14ac:dyDescent="0.25">
      <c r="A216" s="339"/>
      <c r="B216" s="116"/>
      <c r="C216" s="95"/>
      <c r="D216" s="567"/>
      <c r="E216" s="567"/>
      <c r="F216" s="95"/>
      <c r="G216" s="146"/>
      <c r="H216" s="108"/>
      <c r="I216" s="122"/>
      <c r="J216" s="191">
        <v>135</v>
      </c>
      <c r="K216" s="359" t="s">
        <v>781</v>
      </c>
      <c r="L216" s="913">
        <v>1597715.1939999999</v>
      </c>
      <c r="M216" s="913">
        <v>5290429.0936000003</v>
      </c>
      <c r="N216" s="108"/>
      <c r="O216" s="108"/>
      <c r="P216" s="108" t="s">
        <v>5</v>
      </c>
      <c r="Q216" s="108"/>
      <c r="R216" s="108"/>
      <c r="S216" s="108"/>
      <c r="T216" s="184" t="s">
        <v>823</v>
      </c>
      <c r="U216" s="138" t="s">
        <v>10</v>
      </c>
      <c r="V216" s="136" t="s">
        <v>10</v>
      </c>
      <c r="W216" s="136" t="s">
        <v>10</v>
      </c>
      <c r="X216" s="132" t="s">
        <v>5</v>
      </c>
      <c r="Y216" s="132" t="s">
        <v>785</v>
      </c>
      <c r="Z216" s="137" t="s">
        <v>24</v>
      </c>
      <c r="AA216" s="132">
        <v>1</v>
      </c>
      <c r="AB216" s="132" t="s">
        <v>822</v>
      </c>
      <c r="AC216" s="132"/>
      <c r="AD216" s="136">
        <v>1.623</v>
      </c>
      <c r="AE216" s="136">
        <v>1.6879999999999999</v>
      </c>
      <c r="AF216" s="136"/>
      <c r="AG216" s="136"/>
      <c r="AH216" s="136"/>
      <c r="AI216" s="180" t="s">
        <v>789</v>
      </c>
      <c r="AJ216" s="173"/>
      <c r="AK216" s="173"/>
      <c r="AL216" s="350"/>
      <c r="AM216" s="350"/>
      <c r="AN216" s="180" t="s">
        <v>792</v>
      </c>
      <c r="AO216" s="45" t="s">
        <v>821</v>
      </c>
      <c r="AP216" s="46" t="s">
        <v>4236</v>
      </c>
      <c r="AQ216" s="46" t="s">
        <v>37</v>
      </c>
      <c r="AR216" s="139">
        <v>44064</v>
      </c>
      <c r="AS216" s="46" t="s">
        <v>37</v>
      </c>
      <c r="AT216" s="358"/>
      <c r="AU216" s="1110"/>
    </row>
    <row r="217" spans="1:47" s="135" customFormat="1" ht="26.25" x14ac:dyDescent="0.25">
      <c r="A217" s="339"/>
      <c r="B217" s="116"/>
      <c r="C217" s="95"/>
      <c r="D217" s="567"/>
      <c r="E217" s="567"/>
      <c r="F217" s="95"/>
      <c r="G217" s="146"/>
      <c r="H217" s="108"/>
      <c r="I217" s="122"/>
      <c r="J217" s="191">
        <v>136</v>
      </c>
      <c r="K217" s="359" t="s">
        <v>782</v>
      </c>
      <c r="L217" s="913">
        <v>1597724.4387000001</v>
      </c>
      <c r="M217" s="913">
        <v>5290432.6153999995</v>
      </c>
      <c r="N217" s="108"/>
      <c r="O217" s="108"/>
      <c r="P217" s="108" t="s">
        <v>5</v>
      </c>
      <c r="Q217" s="108"/>
      <c r="R217" s="108"/>
      <c r="S217" s="108"/>
      <c r="T217" s="184" t="s">
        <v>795</v>
      </c>
      <c r="U217" s="138" t="s">
        <v>10</v>
      </c>
      <c r="V217" s="136" t="s">
        <v>10</v>
      </c>
      <c r="W217" s="136" t="s">
        <v>10</v>
      </c>
      <c r="X217" s="132" t="s">
        <v>5</v>
      </c>
      <c r="Y217" s="132" t="s">
        <v>786</v>
      </c>
      <c r="Z217" s="137" t="s">
        <v>24</v>
      </c>
      <c r="AA217" s="132">
        <v>1</v>
      </c>
      <c r="AB217" s="132" t="s">
        <v>788</v>
      </c>
      <c r="AC217" s="132">
        <v>1.0900000000000001</v>
      </c>
      <c r="AD217" s="136">
        <v>1.01</v>
      </c>
      <c r="AE217" s="136">
        <v>1.17</v>
      </c>
      <c r="AF217" s="136"/>
      <c r="AG217" s="136"/>
      <c r="AH217" s="136"/>
      <c r="AI217" s="180" t="s">
        <v>789</v>
      </c>
      <c r="AJ217" s="173"/>
      <c r="AK217" s="173"/>
      <c r="AL217" s="350"/>
      <c r="AM217" s="350"/>
      <c r="AN217" s="180" t="s">
        <v>790</v>
      </c>
      <c r="AO217" s="45" t="s">
        <v>821</v>
      </c>
      <c r="AP217" s="46" t="s">
        <v>4236</v>
      </c>
      <c r="AQ217" s="46" t="s">
        <v>37</v>
      </c>
      <c r="AR217" s="139">
        <v>44064</v>
      </c>
      <c r="AS217" s="46" t="s">
        <v>37</v>
      </c>
      <c r="AT217" s="358"/>
      <c r="AU217" s="1110"/>
    </row>
    <row r="218" spans="1:47" s="135" customFormat="1" ht="26.25" x14ac:dyDescent="0.25">
      <c r="A218" s="339"/>
      <c r="B218" s="116"/>
      <c r="C218" s="95"/>
      <c r="D218" s="567"/>
      <c r="E218" s="567"/>
      <c r="F218" s="95"/>
      <c r="G218" s="146"/>
      <c r="H218" s="108"/>
      <c r="I218" s="122"/>
      <c r="J218" s="191">
        <v>137</v>
      </c>
      <c r="K218" s="359" t="s">
        <v>796</v>
      </c>
      <c r="L218" s="913">
        <v>1598362.0144</v>
      </c>
      <c r="M218" s="913">
        <v>5290643.8617000002</v>
      </c>
      <c r="N218" s="108"/>
      <c r="O218" s="108"/>
      <c r="P218" s="108" t="s">
        <v>5</v>
      </c>
      <c r="Q218" s="108"/>
      <c r="R218" s="108"/>
      <c r="S218" s="108"/>
      <c r="T218" s="184" t="s">
        <v>800</v>
      </c>
      <c r="U218" s="138" t="s">
        <v>10</v>
      </c>
      <c r="V218" s="136" t="s">
        <v>10</v>
      </c>
      <c r="W218" s="136" t="s">
        <v>10</v>
      </c>
      <c r="X218" s="132" t="s">
        <v>5</v>
      </c>
      <c r="Y218" s="132" t="s">
        <v>797</v>
      </c>
      <c r="Z218" s="137" t="s">
        <v>798</v>
      </c>
      <c r="AA218" s="132">
        <v>1</v>
      </c>
      <c r="AB218" s="132" t="s">
        <v>799</v>
      </c>
      <c r="AC218" s="132">
        <v>13.7</v>
      </c>
      <c r="AD218" s="136">
        <v>12.1</v>
      </c>
      <c r="AE218" s="136">
        <v>15.3</v>
      </c>
      <c r="AF218" s="136"/>
      <c r="AG218" s="136"/>
      <c r="AH218" s="136"/>
      <c r="AI218" s="180" t="s">
        <v>23</v>
      </c>
      <c r="AJ218" s="173"/>
      <c r="AK218" s="173"/>
      <c r="AL218" s="350"/>
      <c r="AM218" s="350"/>
      <c r="AN218" s="180" t="s">
        <v>790</v>
      </c>
      <c r="AO218" s="45" t="s">
        <v>821</v>
      </c>
      <c r="AP218" s="46" t="s">
        <v>4236</v>
      </c>
      <c r="AQ218" s="46" t="s">
        <v>37</v>
      </c>
      <c r="AR218" s="139">
        <v>44064</v>
      </c>
      <c r="AS218" s="46" t="s">
        <v>37</v>
      </c>
      <c r="AT218" s="358"/>
      <c r="AU218" s="1110"/>
    </row>
    <row r="219" spans="1:47" s="135" customFormat="1" ht="26.25" x14ac:dyDescent="0.25">
      <c r="A219" s="339"/>
      <c r="B219" s="116"/>
      <c r="C219" s="95"/>
      <c r="D219" s="567"/>
      <c r="E219" s="567"/>
      <c r="F219" s="95"/>
      <c r="G219" s="146"/>
      <c r="H219" s="108"/>
      <c r="I219" s="122"/>
      <c r="J219" s="191">
        <v>138</v>
      </c>
      <c r="K219" s="359" t="s">
        <v>801</v>
      </c>
      <c r="L219" s="913">
        <v>1598047.1595999999</v>
      </c>
      <c r="M219" s="913">
        <v>5290532.7364999996</v>
      </c>
      <c r="N219" s="108"/>
      <c r="O219" s="108" t="s">
        <v>806</v>
      </c>
      <c r="P219" s="108" t="s">
        <v>5</v>
      </c>
      <c r="Q219" s="108"/>
      <c r="R219" s="108"/>
      <c r="S219" s="108"/>
      <c r="T219" s="184" t="s">
        <v>811</v>
      </c>
      <c r="U219" s="138" t="s">
        <v>10</v>
      </c>
      <c r="V219" s="136" t="s">
        <v>10</v>
      </c>
      <c r="W219" s="136" t="s">
        <v>10</v>
      </c>
      <c r="X219" s="132" t="s">
        <v>5</v>
      </c>
      <c r="Y219" s="132">
        <v>61</v>
      </c>
      <c r="Z219" s="137" t="s">
        <v>24</v>
      </c>
      <c r="AA219" s="132">
        <v>1</v>
      </c>
      <c r="AB219" s="132" t="s">
        <v>816</v>
      </c>
      <c r="AC219" s="132">
        <v>13.8</v>
      </c>
      <c r="AD219" s="136">
        <v>12.1</v>
      </c>
      <c r="AE219" s="136">
        <v>15.3</v>
      </c>
      <c r="AF219" s="136">
        <v>9.4</v>
      </c>
      <c r="AG219" s="132">
        <v>9.3680000000000003</v>
      </c>
      <c r="AH219" s="136">
        <v>9.516</v>
      </c>
      <c r="AI219" s="180" t="s">
        <v>789</v>
      </c>
      <c r="AJ219" s="173"/>
      <c r="AK219" s="173"/>
      <c r="AL219" s="350"/>
      <c r="AM219" s="350"/>
      <c r="AN219" s="180" t="s">
        <v>820</v>
      </c>
      <c r="AO219" s="45" t="s">
        <v>821</v>
      </c>
      <c r="AP219" s="46" t="s">
        <v>4236</v>
      </c>
      <c r="AQ219" s="46" t="s">
        <v>37</v>
      </c>
      <c r="AR219" s="139">
        <v>44064</v>
      </c>
      <c r="AS219" s="46" t="s">
        <v>37</v>
      </c>
      <c r="AT219" s="358"/>
      <c r="AU219" s="1110"/>
    </row>
    <row r="220" spans="1:47" s="135" customFormat="1" ht="26.25" x14ac:dyDescent="0.25">
      <c r="A220" s="339"/>
      <c r="B220" s="116"/>
      <c r="C220" s="95"/>
      <c r="D220" s="567"/>
      <c r="E220" s="567"/>
      <c r="F220" s="95"/>
      <c r="G220" s="146"/>
      <c r="H220" s="108"/>
      <c r="I220" s="122"/>
      <c r="J220" s="191">
        <v>139</v>
      </c>
      <c r="K220" s="359" t="s">
        <v>802</v>
      </c>
      <c r="L220" s="913">
        <v>5290532.7364999996</v>
      </c>
      <c r="M220" s="913">
        <v>5290441.1575999996</v>
      </c>
      <c r="N220" s="108"/>
      <c r="O220" s="108" t="s">
        <v>807</v>
      </c>
      <c r="P220" s="108" t="s">
        <v>5</v>
      </c>
      <c r="Q220" s="108"/>
      <c r="R220" s="108"/>
      <c r="S220" s="108"/>
      <c r="T220" s="184" t="s">
        <v>812</v>
      </c>
      <c r="U220" s="138" t="s">
        <v>10</v>
      </c>
      <c r="V220" s="136" t="s">
        <v>10</v>
      </c>
      <c r="W220" s="136" t="s">
        <v>10</v>
      </c>
      <c r="X220" s="132" t="s">
        <v>5</v>
      </c>
      <c r="Y220" s="132">
        <v>48</v>
      </c>
      <c r="Z220" s="137" t="s">
        <v>24</v>
      </c>
      <c r="AA220" s="132">
        <v>1</v>
      </c>
      <c r="AB220" s="132" t="s">
        <v>817</v>
      </c>
      <c r="AC220" s="132">
        <v>9.4</v>
      </c>
      <c r="AD220" s="132">
        <v>9.3680000000000003</v>
      </c>
      <c r="AE220" s="136">
        <v>9.516</v>
      </c>
      <c r="AF220" s="136">
        <v>5.4</v>
      </c>
      <c r="AG220" s="132">
        <v>5.4089999999999998</v>
      </c>
      <c r="AH220" s="132">
        <v>5.5030000000000001</v>
      </c>
      <c r="AI220" s="180" t="s">
        <v>789</v>
      </c>
      <c r="AJ220" s="173"/>
      <c r="AK220" s="173"/>
      <c r="AL220" s="350"/>
      <c r="AM220" s="350"/>
      <c r="AN220" s="180" t="s">
        <v>820</v>
      </c>
      <c r="AO220" s="45" t="s">
        <v>821</v>
      </c>
      <c r="AP220" s="46" t="s">
        <v>4236</v>
      </c>
      <c r="AQ220" s="46" t="s">
        <v>37</v>
      </c>
      <c r="AR220" s="139">
        <v>44064</v>
      </c>
      <c r="AS220" s="46" t="s">
        <v>37</v>
      </c>
      <c r="AT220" s="358"/>
      <c r="AU220" s="1110"/>
    </row>
    <row r="221" spans="1:47" s="135" customFormat="1" ht="26.25" x14ac:dyDescent="0.25">
      <c r="A221" s="339"/>
      <c r="B221" s="116"/>
      <c r="C221" s="95"/>
      <c r="D221" s="567"/>
      <c r="E221" s="567"/>
      <c r="F221" s="95"/>
      <c r="G221" s="146"/>
      <c r="H221" s="108"/>
      <c r="I221" s="122"/>
      <c r="J221" s="191">
        <v>140</v>
      </c>
      <c r="K221" s="359" t="s">
        <v>803</v>
      </c>
      <c r="L221" s="913">
        <v>1597725.1540999999</v>
      </c>
      <c r="M221" s="913">
        <v>5290431.3595000003</v>
      </c>
      <c r="N221" s="108"/>
      <c r="O221" s="108" t="s">
        <v>808</v>
      </c>
      <c r="P221" s="108" t="s">
        <v>5</v>
      </c>
      <c r="Q221" s="108"/>
      <c r="R221" s="108"/>
      <c r="S221" s="108"/>
      <c r="T221" s="184" t="s">
        <v>813</v>
      </c>
      <c r="U221" s="138" t="s">
        <v>10</v>
      </c>
      <c r="V221" s="136" t="s">
        <v>10</v>
      </c>
      <c r="W221" s="136" t="s">
        <v>10</v>
      </c>
      <c r="X221" s="132" t="s">
        <v>5</v>
      </c>
      <c r="Y221" s="132">
        <v>72</v>
      </c>
      <c r="Z221" s="137" t="s">
        <v>24</v>
      </c>
      <c r="AA221" s="132">
        <v>1</v>
      </c>
      <c r="AB221" s="132" t="s">
        <v>818</v>
      </c>
      <c r="AC221" s="132">
        <v>5.4</v>
      </c>
      <c r="AD221" s="132">
        <v>5.4089999999999998</v>
      </c>
      <c r="AE221" s="132">
        <v>5.5030000000000001</v>
      </c>
      <c r="AF221" s="136">
        <v>1.6</v>
      </c>
      <c r="AG221" s="136"/>
      <c r="AH221" s="136"/>
      <c r="AI221" s="180" t="s">
        <v>789</v>
      </c>
      <c r="AJ221" s="173"/>
      <c r="AK221" s="173"/>
      <c r="AL221" s="350"/>
      <c r="AM221" s="350"/>
      <c r="AN221" s="180" t="s">
        <v>820</v>
      </c>
      <c r="AO221" s="45" t="s">
        <v>821</v>
      </c>
      <c r="AP221" s="46" t="s">
        <v>4236</v>
      </c>
      <c r="AQ221" s="46" t="s">
        <v>37</v>
      </c>
      <c r="AR221" s="139">
        <v>44064</v>
      </c>
      <c r="AS221" s="46" t="s">
        <v>37</v>
      </c>
      <c r="AT221" s="358"/>
      <c r="AU221" s="1110"/>
    </row>
    <row r="222" spans="1:47" s="135" customFormat="1" ht="26.25" x14ac:dyDescent="0.25">
      <c r="A222" s="339"/>
      <c r="B222" s="116"/>
      <c r="C222" s="95"/>
      <c r="D222" s="567"/>
      <c r="E222" s="567"/>
      <c r="F222" s="95"/>
      <c r="G222" s="146"/>
      <c r="H222" s="108"/>
      <c r="I222" s="122"/>
      <c r="J222" s="191">
        <v>141</v>
      </c>
      <c r="K222" s="359" t="s">
        <v>804</v>
      </c>
      <c r="L222" s="913">
        <v>1597719.9669000001</v>
      </c>
      <c r="M222" s="913">
        <v>5290430.7830999997</v>
      </c>
      <c r="N222" s="108"/>
      <c r="O222" s="108" t="s">
        <v>810</v>
      </c>
      <c r="P222" s="108" t="s">
        <v>5</v>
      </c>
      <c r="Q222" s="108"/>
      <c r="R222" s="108"/>
      <c r="S222" s="108"/>
      <c r="T222" s="184" t="s">
        <v>814</v>
      </c>
      <c r="U222" s="138" t="s">
        <v>10</v>
      </c>
      <c r="V222" s="136" t="s">
        <v>10</v>
      </c>
      <c r="W222" s="136" t="s">
        <v>10</v>
      </c>
      <c r="X222" s="132" t="s">
        <v>5</v>
      </c>
      <c r="Y222" s="132">
        <v>17</v>
      </c>
      <c r="Z222" s="137" t="s">
        <v>24</v>
      </c>
      <c r="AA222" s="132">
        <v>1</v>
      </c>
      <c r="AB222" s="132" t="s">
        <v>819</v>
      </c>
      <c r="AC222" s="132">
        <v>1.6</v>
      </c>
      <c r="AD222" s="136"/>
      <c r="AE222" s="136"/>
      <c r="AF222" s="136">
        <v>1</v>
      </c>
      <c r="AG222" s="136">
        <v>1.01</v>
      </c>
      <c r="AH222" s="136">
        <v>1.17</v>
      </c>
      <c r="AI222" s="180" t="s">
        <v>789</v>
      </c>
      <c r="AJ222" s="173"/>
      <c r="AK222" s="173"/>
      <c r="AL222" s="350"/>
      <c r="AM222" s="350"/>
      <c r="AN222" s="180" t="s">
        <v>820</v>
      </c>
      <c r="AO222" s="45" t="s">
        <v>821</v>
      </c>
      <c r="AP222" s="46" t="s">
        <v>4236</v>
      </c>
      <c r="AQ222" s="46" t="s">
        <v>37</v>
      </c>
      <c r="AR222" s="139">
        <v>44064</v>
      </c>
      <c r="AS222" s="46" t="s">
        <v>37</v>
      </c>
      <c r="AT222" s="358"/>
      <c r="AU222" s="1110"/>
    </row>
    <row r="223" spans="1:47" s="135" customFormat="1" ht="27" thickBot="1" x14ac:dyDescent="0.3">
      <c r="A223" s="339"/>
      <c r="B223" s="116"/>
      <c r="C223" s="95"/>
      <c r="D223" s="567"/>
      <c r="E223" s="567"/>
      <c r="F223" s="95"/>
      <c r="G223" s="146"/>
      <c r="H223" s="108"/>
      <c r="I223" s="122"/>
      <c r="J223" s="190">
        <v>142</v>
      </c>
      <c r="K223" s="357" t="s">
        <v>805</v>
      </c>
      <c r="L223" s="912">
        <v>1597712.4742000001</v>
      </c>
      <c r="M223" s="912">
        <v>5290427.6708000004</v>
      </c>
      <c r="N223" s="107"/>
      <c r="O223" s="107" t="s">
        <v>809</v>
      </c>
      <c r="P223" s="107" t="s">
        <v>5</v>
      </c>
      <c r="Q223" s="107"/>
      <c r="R223" s="107"/>
      <c r="S223" s="107"/>
      <c r="T223" s="127" t="s">
        <v>815</v>
      </c>
      <c r="U223" s="171" t="s">
        <v>10</v>
      </c>
      <c r="V223" s="154" t="s">
        <v>10</v>
      </c>
      <c r="W223" s="154" t="s">
        <v>10</v>
      </c>
      <c r="X223" s="156" t="s">
        <v>5</v>
      </c>
      <c r="Y223" s="156">
        <v>12</v>
      </c>
      <c r="Z223" s="155" t="s">
        <v>798</v>
      </c>
      <c r="AA223" s="156">
        <v>1</v>
      </c>
      <c r="AB223" s="156">
        <v>1.1000000000000001</v>
      </c>
      <c r="AC223" s="156">
        <v>1.1000000000000001</v>
      </c>
      <c r="AD223" s="154">
        <v>1.01</v>
      </c>
      <c r="AE223" s="154">
        <v>1.17</v>
      </c>
      <c r="AF223" s="154">
        <v>0</v>
      </c>
      <c r="AG223" s="154"/>
      <c r="AH223" s="154"/>
      <c r="AI223" s="183" t="s">
        <v>789</v>
      </c>
      <c r="AJ223" s="201"/>
      <c r="AK223" s="201"/>
      <c r="AL223" s="443"/>
      <c r="AM223" s="443"/>
      <c r="AN223" s="183" t="s">
        <v>820</v>
      </c>
      <c r="AO223" s="51" t="s">
        <v>821</v>
      </c>
      <c r="AP223" s="52" t="s">
        <v>4236</v>
      </c>
      <c r="AQ223" s="52" t="s">
        <v>37</v>
      </c>
      <c r="AR223" s="172">
        <v>44064</v>
      </c>
      <c r="AS223" s="52" t="s">
        <v>37</v>
      </c>
      <c r="AT223" s="362"/>
      <c r="AU223" s="1111"/>
    </row>
    <row r="224" spans="1:47" s="135" customFormat="1" ht="27" thickBot="1" x14ac:dyDescent="0.3">
      <c r="A224" s="339"/>
      <c r="B224" s="116"/>
      <c r="C224" s="95"/>
      <c r="D224" s="567"/>
      <c r="E224" s="567"/>
      <c r="F224" s="95"/>
      <c r="G224" s="146"/>
      <c r="H224" s="108"/>
      <c r="I224" s="122"/>
      <c r="J224" s="89">
        <v>148</v>
      </c>
      <c r="K224" s="396" t="s">
        <v>862</v>
      </c>
      <c r="L224" s="265">
        <v>1632238.7479999999</v>
      </c>
      <c r="M224" s="265">
        <v>5306188.1497999998</v>
      </c>
      <c r="N224" s="109"/>
      <c r="O224" s="109" t="s">
        <v>863</v>
      </c>
      <c r="P224" s="109" t="s">
        <v>5</v>
      </c>
      <c r="Q224" s="109"/>
      <c r="R224" s="109"/>
      <c r="S224" s="109"/>
      <c r="T224" s="343" t="s">
        <v>1208</v>
      </c>
      <c r="U224" s="206" t="s">
        <v>16</v>
      </c>
      <c r="V224" s="204" t="s">
        <v>16</v>
      </c>
      <c r="W224" s="204" t="s">
        <v>16</v>
      </c>
      <c r="X224" s="176" t="s">
        <v>5</v>
      </c>
      <c r="Y224" s="176" t="s">
        <v>864</v>
      </c>
      <c r="Z224" s="208" t="s">
        <v>24</v>
      </c>
      <c r="AA224" s="176">
        <v>1</v>
      </c>
      <c r="AB224" s="176" t="s">
        <v>865</v>
      </c>
      <c r="AC224" s="176"/>
      <c r="AD224" s="204">
        <v>4.8440000000000003</v>
      </c>
      <c r="AE224" s="204">
        <v>5.2880000000000003</v>
      </c>
      <c r="AF224" s="204"/>
      <c r="AG224" s="204"/>
      <c r="AH224" s="204"/>
      <c r="AI224" s="207" t="s">
        <v>549</v>
      </c>
      <c r="AJ224" s="205"/>
      <c r="AK224" s="205"/>
      <c r="AL224" s="353"/>
      <c r="AM224" s="353"/>
      <c r="AN224" s="207" t="s">
        <v>866</v>
      </c>
      <c r="AO224" s="94" t="s">
        <v>867</v>
      </c>
      <c r="AP224" s="92" t="s">
        <v>6926</v>
      </c>
      <c r="AQ224" s="92" t="s">
        <v>37</v>
      </c>
      <c r="AR224" s="209">
        <v>44075</v>
      </c>
      <c r="AS224" s="92" t="s">
        <v>37</v>
      </c>
      <c r="AT224" s="364"/>
      <c r="AU224" s="1109"/>
    </row>
    <row r="225" spans="1:47" s="135" customFormat="1" ht="26.25" x14ac:dyDescent="0.25">
      <c r="A225" s="339"/>
      <c r="B225" s="116"/>
      <c r="C225" s="95"/>
      <c r="D225" s="567"/>
      <c r="E225" s="567"/>
      <c r="F225" s="95"/>
      <c r="G225" s="146"/>
      <c r="H225" s="108"/>
      <c r="I225" s="122"/>
      <c r="J225" s="95">
        <v>149</v>
      </c>
      <c r="K225" s="359" t="s">
        <v>868</v>
      </c>
      <c r="L225" s="913">
        <v>1635203.4012</v>
      </c>
      <c r="M225" s="913">
        <v>5307068.9656999996</v>
      </c>
      <c r="N225" s="108"/>
      <c r="O225" s="108" t="s">
        <v>870</v>
      </c>
      <c r="P225" s="108" t="s">
        <v>5</v>
      </c>
      <c r="Q225" s="108"/>
      <c r="R225" s="108"/>
      <c r="S225" s="108"/>
      <c r="T225" s="108" t="s">
        <v>1207</v>
      </c>
      <c r="U225" s="138" t="s">
        <v>16</v>
      </c>
      <c r="V225" s="136" t="s">
        <v>85</v>
      </c>
      <c r="W225" s="136" t="s">
        <v>85</v>
      </c>
      <c r="X225" s="132" t="s">
        <v>5</v>
      </c>
      <c r="Y225" s="132" t="s">
        <v>872</v>
      </c>
      <c r="Z225" s="137" t="s">
        <v>401</v>
      </c>
      <c r="AA225" s="132">
        <v>1</v>
      </c>
      <c r="AB225" s="132" t="s">
        <v>874</v>
      </c>
      <c r="AC225" s="132">
        <v>2.78</v>
      </c>
      <c r="AD225" s="136">
        <v>2.2200000000000002</v>
      </c>
      <c r="AE225" s="136">
        <v>3.34</v>
      </c>
      <c r="AF225" s="136"/>
      <c r="AG225" s="136"/>
      <c r="AH225" s="136"/>
      <c r="AI225" s="180" t="s">
        <v>376</v>
      </c>
      <c r="AJ225" s="173"/>
      <c r="AK225" s="173"/>
      <c r="AL225" s="350"/>
      <c r="AM225" s="350"/>
      <c r="AN225" s="180" t="s">
        <v>876</v>
      </c>
      <c r="AO225" s="180" t="s">
        <v>6794</v>
      </c>
      <c r="AP225" s="46" t="s">
        <v>877</v>
      </c>
      <c r="AQ225" s="46" t="s">
        <v>37</v>
      </c>
      <c r="AR225" s="139">
        <v>44335</v>
      </c>
      <c r="AS225" s="46" t="s">
        <v>37</v>
      </c>
      <c r="AT225" s="358"/>
      <c r="AU225" s="1110"/>
    </row>
    <row r="226" spans="1:47" s="135" customFormat="1" ht="27" thickBot="1" x14ac:dyDescent="0.3">
      <c r="A226" s="339"/>
      <c r="B226" s="116"/>
      <c r="C226" s="95"/>
      <c r="D226" s="567"/>
      <c r="E226" s="567"/>
      <c r="F226" s="95"/>
      <c r="G226" s="146"/>
      <c r="H226" s="108"/>
      <c r="I226" s="122"/>
      <c r="J226" s="95">
        <v>150</v>
      </c>
      <c r="K226" s="359" t="s">
        <v>869</v>
      </c>
      <c r="L226" s="913">
        <v>1635029.5175999999</v>
      </c>
      <c r="M226" s="913">
        <v>5306992.7132999999</v>
      </c>
      <c r="N226" s="108"/>
      <c r="O226" s="108" t="s">
        <v>871</v>
      </c>
      <c r="P226" s="108" t="s">
        <v>61</v>
      </c>
      <c r="Q226" s="108"/>
      <c r="R226" s="108"/>
      <c r="S226" s="108"/>
      <c r="T226" s="108" t="s">
        <v>1209</v>
      </c>
      <c r="U226" s="138" t="s">
        <v>16</v>
      </c>
      <c r="V226" s="136" t="s">
        <v>85</v>
      </c>
      <c r="W226" s="136" t="s">
        <v>85</v>
      </c>
      <c r="X226" s="132" t="s">
        <v>61</v>
      </c>
      <c r="Y226" s="132" t="s">
        <v>873</v>
      </c>
      <c r="Z226" s="137" t="s">
        <v>407</v>
      </c>
      <c r="AA226" s="132" t="s">
        <v>419</v>
      </c>
      <c r="AB226" s="132" t="s">
        <v>875</v>
      </c>
      <c r="AC226" s="132">
        <v>4.57</v>
      </c>
      <c r="AD226" s="136">
        <v>3.66</v>
      </c>
      <c r="AE226" s="136">
        <v>5.48</v>
      </c>
      <c r="AF226" s="136"/>
      <c r="AG226" s="136"/>
      <c r="AH226" s="136"/>
      <c r="AI226" s="180" t="s">
        <v>376</v>
      </c>
      <c r="AJ226" s="173"/>
      <c r="AK226" s="173"/>
      <c r="AL226" s="350"/>
      <c r="AM226" s="350"/>
      <c r="AN226" s="180" t="s">
        <v>876</v>
      </c>
      <c r="AO226" s="180" t="s">
        <v>6794</v>
      </c>
      <c r="AP226" s="46" t="s">
        <v>877</v>
      </c>
      <c r="AQ226" s="46" t="s">
        <v>37</v>
      </c>
      <c r="AR226" s="139">
        <v>44335</v>
      </c>
      <c r="AS226" s="46" t="s">
        <v>37</v>
      </c>
      <c r="AT226" s="358"/>
      <c r="AU226" s="1110"/>
    </row>
    <row r="227" spans="1:47" s="8" customFormat="1" x14ac:dyDescent="0.25">
      <c r="A227" s="1042"/>
      <c r="B227" s="346"/>
      <c r="C227" s="258"/>
      <c r="D227" s="346"/>
      <c r="E227" s="346"/>
      <c r="F227" s="259"/>
      <c r="G227" s="259"/>
      <c r="H227" s="259"/>
      <c r="I227" s="298"/>
      <c r="J227" s="254">
        <v>1202</v>
      </c>
      <c r="K227" s="253" t="s">
        <v>868</v>
      </c>
      <c r="L227" s="897">
        <v>1635200.0649000001</v>
      </c>
      <c r="M227" s="897">
        <v>5307067.4819999998</v>
      </c>
      <c r="N227" s="255"/>
      <c r="O227" s="255" t="s">
        <v>2175</v>
      </c>
      <c r="P227" s="255" t="s">
        <v>5</v>
      </c>
      <c r="Q227" s="255"/>
      <c r="R227" s="255"/>
      <c r="S227" s="255"/>
      <c r="T227" s="289" t="s">
        <v>2176</v>
      </c>
      <c r="U227" s="281" t="s">
        <v>85</v>
      </c>
      <c r="V227" s="281" t="s">
        <v>85</v>
      </c>
      <c r="W227" s="281" t="s">
        <v>85</v>
      </c>
      <c r="X227" s="281" t="s">
        <v>5</v>
      </c>
      <c r="Y227" s="281" t="s">
        <v>2177</v>
      </c>
      <c r="Z227" s="388" t="s">
        <v>604</v>
      </c>
      <c r="AA227" s="281"/>
      <c r="AB227" s="281" t="s">
        <v>874</v>
      </c>
      <c r="AC227" s="281">
        <v>2.78</v>
      </c>
      <c r="AD227" s="281">
        <v>2.2200000000000002</v>
      </c>
      <c r="AE227" s="281">
        <v>3.34</v>
      </c>
      <c r="AF227" s="281"/>
      <c r="AG227" s="281"/>
      <c r="AH227" s="281"/>
      <c r="AI227" s="280" t="s">
        <v>376</v>
      </c>
      <c r="AJ227" s="304"/>
      <c r="AK227" s="281"/>
      <c r="AL227" s="281"/>
      <c r="AM227" s="281"/>
      <c r="AN227" s="280" t="s">
        <v>2178</v>
      </c>
      <c r="AO227" s="280" t="s">
        <v>2179</v>
      </c>
      <c r="AP227" s="280" t="s">
        <v>877</v>
      </c>
      <c r="AQ227" s="280" t="s">
        <v>1380</v>
      </c>
      <c r="AR227" s="279">
        <v>44098</v>
      </c>
      <c r="AS227" s="280" t="s">
        <v>1380</v>
      </c>
      <c r="AT227" s="279">
        <v>44109</v>
      </c>
      <c r="AU227" s="278" t="s">
        <v>37</v>
      </c>
    </row>
    <row r="228" spans="1:47" s="8" customFormat="1" ht="27" thickBot="1" x14ac:dyDescent="0.3">
      <c r="A228" s="1042"/>
      <c r="B228" s="698"/>
      <c r="C228" s="397"/>
      <c r="D228" s="698"/>
      <c r="E228" s="698"/>
      <c r="F228" s="699"/>
      <c r="G228" s="259"/>
      <c r="H228" s="259"/>
      <c r="I228" s="298"/>
      <c r="J228" s="261">
        <v>1203</v>
      </c>
      <c r="K228" s="363" t="s">
        <v>2180</v>
      </c>
      <c r="L228" s="898">
        <v>1635104.8007</v>
      </c>
      <c r="M228" s="898">
        <v>5307025.1157999998</v>
      </c>
      <c r="N228" s="262"/>
      <c r="O228" s="262" t="s">
        <v>2181</v>
      </c>
      <c r="P228" s="262" t="s">
        <v>61</v>
      </c>
      <c r="Q228" s="262"/>
      <c r="R228" s="262"/>
      <c r="S228" s="262"/>
      <c r="T228" s="274" t="s">
        <v>1209</v>
      </c>
      <c r="U228" s="281" t="s">
        <v>85</v>
      </c>
      <c r="V228" s="281" t="s">
        <v>85</v>
      </c>
      <c r="W228" s="281" t="s">
        <v>85</v>
      </c>
      <c r="X228" s="281" t="s">
        <v>61</v>
      </c>
      <c r="Y228" s="281" t="s">
        <v>873</v>
      </c>
      <c r="Z228" s="388" t="s">
        <v>604</v>
      </c>
      <c r="AA228" s="281"/>
      <c r="AB228" s="281" t="s">
        <v>875</v>
      </c>
      <c r="AC228" s="281">
        <v>4.57</v>
      </c>
      <c r="AD228" s="281">
        <v>3.66</v>
      </c>
      <c r="AE228" s="281">
        <v>5.48</v>
      </c>
      <c r="AF228" s="281"/>
      <c r="AG228" s="281"/>
      <c r="AH228" s="281"/>
      <c r="AI228" s="280" t="s">
        <v>376</v>
      </c>
      <c r="AJ228" s="304"/>
      <c r="AK228" s="281"/>
      <c r="AL228" s="281"/>
      <c r="AM228" s="281"/>
      <c r="AN228" s="280" t="s">
        <v>2182</v>
      </c>
      <c r="AO228" s="280" t="s">
        <v>2179</v>
      </c>
      <c r="AP228" s="280" t="s">
        <v>877</v>
      </c>
      <c r="AQ228" s="280" t="s">
        <v>1380</v>
      </c>
      <c r="AR228" s="279">
        <v>44098</v>
      </c>
      <c r="AS228" s="280" t="s">
        <v>1380</v>
      </c>
      <c r="AT228" s="279">
        <v>44109</v>
      </c>
      <c r="AU228" s="278" t="s">
        <v>37</v>
      </c>
    </row>
    <row r="229" spans="1:47" s="8" customFormat="1" ht="15.75" thickBot="1" x14ac:dyDescent="0.3">
      <c r="A229" s="1042"/>
      <c r="B229" s="346"/>
      <c r="C229" s="258"/>
      <c r="D229" s="346"/>
      <c r="E229" s="346"/>
      <c r="F229" s="699"/>
      <c r="G229" s="699"/>
      <c r="H229" s="699"/>
      <c r="I229" s="298"/>
      <c r="J229" s="110">
        <v>1204</v>
      </c>
      <c r="K229" s="449" t="s">
        <v>2183</v>
      </c>
      <c r="L229" s="908">
        <v>1646987.1666000001</v>
      </c>
      <c r="M229" s="908">
        <v>5311040.3986</v>
      </c>
      <c r="N229" s="296"/>
      <c r="O229" s="296" t="s">
        <v>2184</v>
      </c>
      <c r="P229" s="296" t="s">
        <v>5</v>
      </c>
      <c r="Q229" s="296"/>
      <c r="R229" s="296"/>
      <c r="S229" s="296"/>
      <c r="T229" s="295" t="s">
        <v>2185</v>
      </c>
      <c r="U229" s="293" t="s">
        <v>85</v>
      </c>
      <c r="V229" s="293" t="s">
        <v>85</v>
      </c>
      <c r="W229" s="293" t="s">
        <v>85</v>
      </c>
      <c r="X229" s="293" t="s">
        <v>5</v>
      </c>
      <c r="Y229" s="293" t="s">
        <v>643</v>
      </c>
      <c r="Z229" s="342" t="s">
        <v>638</v>
      </c>
      <c r="AA229" s="293"/>
      <c r="AB229" s="293" t="s">
        <v>2186</v>
      </c>
      <c r="AC229" s="293">
        <v>14</v>
      </c>
      <c r="AD229" s="293">
        <v>12</v>
      </c>
      <c r="AE229" s="293">
        <v>16</v>
      </c>
      <c r="AF229" s="293"/>
      <c r="AG229" s="293"/>
      <c r="AH229" s="293"/>
      <c r="AI229" s="292" t="s">
        <v>376</v>
      </c>
      <c r="AJ229" s="307"/>
      <c r="AK229" s="293"/>
      <c r="AL229" s="293"/>
      <c r="AM229" s="293"/>
      <c r="AN229" s="292" t="s">
        <v>2178</v>
      </c>
      <c r="AO229" s="292" t="s">
        <v>2187</v>
      </c>
      <c r="AP229" s="292" t="s">
        <v>877</v>
      </c>
      <c r="AQ229" s="292" t="s">
        <v>1380</v>
      </c>
      <c r="AR229" s="291">
        <v>44098</v>
      </c>
      <c r="AS229" s="292" t="s">
        <v>1380</v>
      </c>
      <c r="AT229" s="291">
        <v>44109</v>
      </c>
      <c r="AU229" s="290" t="s">
        <v>37</v>
      </c>
    </row>
    <row r="230" spans="1:47" s="8" customFormat="1" ht="27" thickBot="1" x14ac:dyDescent="0.3">
      <c r="A230" s="636"/>
      <c r="B230" s="315"/>
      <c r="C230" s="261"/>
      <c r="D230" s="315"/>
      <c r="E230" s="315"/>
      <c r="F230" s="262"/>
      <c r="G230" s="262"/>
      <c r="H230" s="262"/>
      <c r="I230" s="299"/>
      <c r="J230" s="110">
        <v>1205</v>
      </c>
      <c r="K230" s="449" t="s">
        <v>2188</v>
      </c>
      <c r="L230" s="908">
        <v>1653579.879</v>
      </c>
      <c r="M230" s="908">
        <v>5313497.6670000004</v>
      </c>
      <c r="N230" s="296"/>
      <c r="O230" s="296" t="s">
        <v>1187</v>
      </c>
      <c r="P230" s="296" t="s">
        <v>194</v>
      </c>
      <c r="Q230" s="296"/>
      <c r="R230" s="296"/>
      <c r="S230" s="296"/>
      <c r="T230" s="295" t="s">
        <v>2189</v>
      </c>
      <c r="U230" s="293" t="s">
        <v>85</v>
      </c>
      <c r="V230" s="293" t="s">
        <v>85</v>
      </c>
      <c r="W230" s="293" t="s">
        <v>85</v>
      </c>
      <c r="X230" s="293" t="s">
        <v>194</v>
      </c>
      <c r="Y230" s="293">
        <v>18</v>
      </c>
      <c r="Z230" s="342" t="s">
        <v>604</v>
      </c>
      <c r="AA230" s="293"/>
      <c r="AB230" s="293" t="s">
        <v>375</v>
      </c>
      <c r="AC230" s="293">
        <v>14</v>
      </c>
      <c r="AD230" s="293">
        <v>12</v>
      </c>
      <c r="AE230" s="293">
        <v>16</v>
      </c>
      <c r="AF230" s="293"/>
      <c r="AG230" s="293"/>
      <c r="AH230" s="293"/>
      <c r="AI230" s="292" t="s">
        <v>376</v>
      </c>
      <c r="AJ230" s="307"/>
      <c r="AK230" s="293"/>
      <c r="AL230" s="293"/>
      <c r="AM230" s="293"/>
      <c r="AN230" s="292" t="s">
        <v>2190</v>
      </c>
      <c r="AO230" s="292" t="s">
        <v>2187</v>
      </c>
      <c r="AP230" s="292" t="s">
        <v>877</v>
      </c>
      <c r="AQ230" s="292" t="s">
        <v>1380</v>
      </c>
      <c r="AR230" s="291">
        <v>44098</v>
      </c>
      <c r="AS230" s="292" t="s">
        <v>1380</v>
      </c>
      <c r="AT230" s="291">
        <v>44109</v>
      </c>
      <c r="AU230" s="290" t="s">
        <v>37</v>
      </c>
    </row>
    <row r="231" spans="1:47" ht="65.25" thickBot="1" x14ac:dyDescent="0.3">
      <c r="A231" s="487" t="s">
        <v>641</v>
      </c>
      <c r="B231" s="128" t="s">
        <v>6808</v>
      </c>
      <c r="C231" s="72">
        <v>552</v>
      </c>
      <c r="D231" s="586" t="s">
        <v>53</v>
      </c>
      <c r="E231" s="586" t="s">
        <v>52</v>
      </c>
      <c r="F231" s="72" t="s">
        <v>567</v>
      </c>
      <c r="G231" s="72" t="s">
        <v>1972</v>
      </c>
      <c r="H231" s="129" t="s">
        <v>2256</v>
      </c>
      <c r="I231" s="381" t="s">
        <v>2257</v>
      </c>
      <c r="J231" s="87">
        <v>108</v>
      </c>
      <c r="K231" s="360" t="s">
        <v>610</v>
      </c>
      <c r="L231" s="198">
        <v>1520243.8838</v>
      </c>
      <c r="M231" s="198">
        <v>5272886.5379999997</v>
      </c>
      <c r="N231" s="199"/>
      <c r="O231" s="199" t="s">
        <v>611</v>
      </c>
      <c r="P231" s="199" t="s">
        <v>5</v>
      </c>
      <c r="Q231" s="199"/>
      <c r="R231" s="199"/>
      <c r="S231" s="199"/>
      <c r="T231" s="332" t="s">
        <v>1205</v>
      </c>
      <c r="U231" s="85" t="s">
        <v>10</v>
      </c>
      <c r="V231" s="86" t="s">
        <v>16</v>
      </c>
      <c r="W231" s="86" t="s">
        <v>16</v>
      </c>
      <c r="X231" s="197" t="s">
        <v>5</v>
      </c>
      <c r="Y231" s="86" t="s">
        <v>619</v>
      </c>
      <c r="Z231" s="92" t="s">
        <v>401</v>
      </c>
      <c r="AA231" s="197">
        <v>1</v>
      </c>
      <c r="AB231" s="197" t="s">
        <v>616</v>
      </c>
      <c r="AC231" s="86"/>
      <c r="AD231" s="86">
        <v>0.51500000000000001</v>
      </c>
      <c r="AE231" s="86">
        <v>0.65300000000000002</v>
      </c>
      <c r="AF231" s="86"/>
      <c r="AG231" s="86"/>
      <c r="AH231" s="86"/>
      <c r="AI231" s="94" t="s">
        <v>549</v>
      </c>
      <c r="AJ231" s="106"/>
      <c r="AK231" s="106"/>
      <c r="AL231" s="387"/>
      <c r="AM231" s="387"/>
      <c r="AN231" s="94" t="s">
        <v>624</v>
      </c>
      <c r="AO231" s="94" t="s">
        <v>617</v>
      </c>
      <c r="AP231" s="92" t="s">
        <v>612</v>
      </c>
      <c r="AQ231" s="92" t="s">
        <v>37</v>
      </c>
      <c r="AR231" s="93">
        <v>44061</v>
      </c>
      <c r="AS231" s="92" t="s">
        <v>37</v>
      </c>
      <c r="AT231" s="368"/>
      <c r="AU231" s="1108"/>
    </row>
    <row r="232" spans="1:47" ht="39" x14ac:dyDescent="0.25">
      <c r="A232" s="488"/>
      <c r="B232" s="131"/>
      <c r="C232" s="75"/>
      <c r="D232" s="568"/>
      <c r="E232" s="568"/>
      <c r="F232" s="75"/>
      <c r="G232" s="143"/>
      <c r="H232" s="118"/>
      <c r="I232" s="121"/>
      <c r="J232" s="75">
        <v>109</v>
      </c>
      <c r="K232" s="76" t="s">
        <v>614</v>
      </c>
      <c r="L232" s="915">
        <v>1521646.0144</v>
      </c>
      <c r="M232" s="915">
        <v>5273294.9216999998</v>
      </c>
      <c r="N232" s="118"/>
      <c r="O232" s="118" t="s">
        <v>613</v>
      </c>
      <c r="P232" s="118" t="s">
        <v>5</v>
      </c>
      <c r="Q232" s="118"/>
      <c r="R232" s="118"/>
      <c r="S232" s="118"/>
      <c r="T232" s="601" t="s">
        <v>2249</v>
      </c>
      <c r="U232" s="102" t="s">
        <v>10</v>
      </c>
      <c r="V232" s="24" t="s">
        <v>10</v>
      </c>
      <c r="W232" s="24" t="s">
        <v>10</v>
      </c>
      <c r="X232" s="117" t="s">
        <v>5</v>
      </c>
      <c r="Y232" s="24" t="s">
        <v>620</v>
      </c>
      <c r="Z232" s="46" t="s">
        <v>401</v>
      </c>
      <c r="AA232" s="117">
        <v>1</v>
      </c>
      <c r="AB232" s="117" t="s">
        <v>615</v>
      </c>
      <c r="AC232" s="24"/>
      <c r="AD232" s="24">
        <v>2.1789999999999998</v>
      </c>
      <c r="AE232" s="24">
        <v>2.4670000000000001</v>
      </c>
      <c r="AF232" s="24"/>
      <c r="AG232" s="24"/>
      <c r="AH232" s="24"/>
      <c r="AI232" s="45" t="s">
        <v>549</v>
      </c>
      <c r="AJ232" s="103"/>
      <c r="AK232" s="103"/>
      <c r="AL232" s="351"/>
      <c r="AM232" s="351"/>
      <c r="AN232" s="45" t="s">
        <v>625</v>
      </c>
      <c r="AO232" s="45" t="s">
        <v>618</v>
      </c>
      <c r="AP232" s="46" t="s">
        <v>612</v>
      </c>
      <c r="AQ232" s="46" t="s">
        <v>37</v>
      </c>
      <c r="AR232" s="47">
        <v>44061</v>
      </c>
      <c r="AS232" s="46" t="s">
        <v>37</v>
      </c>
      <c r="AT232" s="365"/>
      <c r="AU232" s="1107"/>
    </row>
    <row r="233" spans="1:47" ht="39.75" thickBot="1" x14ac:dyDescent="0.3">
      <c r="A233" s="488"/>
      <c r="B233" s="131"/>
      <c r="C233" s="75"/>
      <c r="D233" s="568"/>
      <c r="E233" s="568"/>
      <c r="F233" s="75"/>
      <c r="G233" s="143"/>
      <c r="H233" s="118"/>
      <c r="I233" s="121"/>
      <c r="J233" s="75">
        <v>110</v>
      </c>
      <c r="K233" s="76" t="s">
        <v>621</v>
      </c>
      <c r="L233" s="915">
        <v>1521516.5926000001</v>
      </c>
      <c r="M233" s="915">
        <v>5273285.9053999996</v>
      </c>
      <c r="N233" s="118"/>
      <c r="O233" s="118" t="s">
        <v>622</v>
      </c>
      <c r="P233" s="118" t="s">
        <v>5</v>
      </c>
      <c r="Q233" s="118"/>
      <c r="R233" s="118"/>
      <c r="S233" s="118"/>
      <c r="T233" s="601" t="s">
        <v>2250</v>
      </c>
      <c r="U233" s="102" t="s">
        <v>10</v>
      </c>
      <c r="V233" s="24" t="s">
        <v>10</v>
      </c>
      <c r="W233" s="24" t="s">
        <v>10</v>
      </c>
      <c r="X233" s="117" t="s">
        <v>5</v>
      </c>
      <c r="Y233" s="24" t="s">
        <v>623</v>
      </c>
      <c r="Z233" s="46" t="s">
        <v>401</v>
      </c>
      <c r="AA233" s="117">
        <v>1</v>
      </c>
      <c r="AB233" s="117" t="s">
        <v>615</v>
      </c>
      <c r="AC233" s="24"/>
      <c r="AD233" s="24">
        <v>2.1789999999999998</v>
      </c>
      <c r="AE233" s="24">
        <v>2.4670000000000001</v>
      </c>
      <c r="AF233" s="24"/>
      <c r="AG233" s="24"/>
      <c r="AH233" s="24"/>
      <c r="AI233" s="45" t="s">
        <v>549</v>
      </c>
      <c r="AJ233" s="103"/>
      <c r="AK233" s="103"/>
      <c r="AL233" s="351"/>
      <c r="AM233" s="351"/>
      <c r="AN233" s="45" t="s">
        <v>625</v>
      </c>
      <c r="AO233" s="45" t="s">
        <v>618</v>
      </c>
      <c r="AP233" s="46" t="s">
        <v>612</v>
      </c>
      <c r="AQ233" s="46" t="s">
        <v>37</v>
      </c>
      <c r="AR233" s="47">
        <v>44061</v>
      </c>
      <c r="AS233" s="46" t="s">
        <v>37</v>
      </c>
      <c r="AT233" s="365"/>
      <c r="AU233" s="1107"/>
    </row>
    <row r="234" spans="1:47" ht="39" x14ac:dyDescent="0.25">
      <c r="A234" s="488"/>
      <c r="B234" s="131"/>
      <c r="C234" s="75"/>
      <c r="D234" s="568"/>
      <c r="E234" s="568"/>
      <c r="F234" s="75"/>
      <c r="G234" s="143"/>
      <c r="H234" s="118"/>
      <c r="I234" s="121"/>
      <c r="J234" s="187">
        <v>111</v>
      </c>
      <c r="K234" s="73" t="s">
        <v>626</v>
      </c>
      <c r="L234" s="914">
        <v>1528933.7727999999</v>
      </c>
      <c r="M234" s="914">
        <v>5276338.7763999999</v>
      </c>
      <c r="N234" s="129"/>
      <c r="O234" s="129" t="s">
        <v>627</v>
      </c>
      <c r="P234" s="129" t="s">
        <v>5</v>
      </c>
      <c r="Q234" s="129"/>
      <c r="R234" s="129"/>
      <c r="S234" s="129"/>
      <c r="T234" s="266" t="s">
        <v>2251</v>
      </c>
      <c r="U234" s="101" t="s">
        <v>10</v>
      </c>
      <c r="V234" s="31" t="s">
        <v>16</v>
      </c>
      <c r="W234" s="31" t="s">
        <v>16</v>
      </c>
      <c r="X234" s="97" t="s">
        <v>5</v>
      </c>
      <c r="Y234" s="31" t="s">
        <v>628</v>
      </c>
      <c r="Z234" s="40" t="s">
        <v>401</v>
      </c>
      <c r="AA234" s="97">
        <v>3</v>
      </c>
      <c r="AB234" s="97" t="s">
        <v>629</v>
      </c>
      <c r="AC234" s="31"/>
      <c r="AD234" s="31">
        <v>12.634</v>
      </c>
      <c r="AE234" s="31">
        <v>13.06</v>
      </c>
      <c r="AF234" s="31"/>
      <c r="AG234" s="31"/>
      <c r="AH234" s="31"/>
      <c r="AI234" s="30" t="s">
        <v>549</v>
      </c>
      <c r="AJ234" s="130"/>
      <c r="AK234" s="130"/>
      <c r="AL234" s="372"/>
      <c r="AM234" s="372"/>
      <c r="AN234" s="30" t="s">
        <v>630</v>
      </c>
      <c r="AO234" s="30" t="s">
        <v>618</v>
      </c>
      <c r="AP234" s="40" t="s">
        <v>612</v>
      </c>
      <c r="AQ234" s="40" t="s">
        <v>37</v>
      </c>
      <c r="AR234" s="41">
        <v>44061</v>
      </c>
      <c r="AS234" s="40" t="s">
        <v>37</v>
      </c>
      <c r="AT234" s="54"/>
      <c r="AU234" s="652"/>
    </row>
    <row r="235" spans="1:47" ht="39.75" thickBot="1" x14ac:dyDescent="0.3">
      <c r="A235" s="488"/>
      <c r="B235" s="131"/>
      <c r="C235" s="75"/>
      <c r="D235" s="568"/>
      <c r="E235" s="568"/>
      <c r="F235" s="75"/>
      <c r="G235" s="143"/>
      <c r="H235" s="118"/>
      <c r="I235" s="121"/>
      <c r="J235" s="192">
        <v>112</v>
      </c>
      <c r="K235" s="79" t="s">
        <v>631</v>
      </c>
      <c r="L235" s="916">
        <v>1529599.6402</v>
      </c>
      <c r="M235" s="916">
        <v>5276607.7846999997</v>
      </c>
      <c r="N235" s="119"/>
      <c r="O235" s="119" t="s">
        <v>632</v>
      </c>
      <c r="P235" s="119" t="s">
        <v>5</v>
      </c>
      <c r="Q235" s="119"/>
      <c r="R235" s="119"/>
      <c r="S235" s="119"/>
      <c r="T235" s="267" t="s">
        <v>2252</v>
      </c>
      <c r="U235" s="104" t="s">
        <v>10</v>
      </c>
      <c r="V235" s="25" t="s">
        <v>10</v>
      </c>
      <c r="W235" s="25" t="s">
        <v>10</v>
      </c>
      <c r="X235" s="120" t="s">
        <v>5</v>
      </c>
      <c r="Y235" s="25" t="s">
        <v>633</v>
      </c>
      <c r="Z235" s="52" t="s">
        <v>401</v>
      </c>
      <c r="AA235" s="120">
        <v>3</v>
      </c>
      <c r="AB235" s="120" t="s">
        <v>634</v>
      </c>
      <c r="AC235" s="25"/>
      <c r="AD235" s="25">
        <v>6.7380000000000004</v>
      </c>
      <c r="AE235" s="25">
        <v>7.149</v>
      </c>
      <c r="AF235" s="25"/>
      <c r="AG235" s="25"/>
      <c r="AH235" s="25"/>
      <c r="AI235" s="51" t="s">
        <v>549</v>
      </c>
      <c r="AJ235" s="105"/>
      <c r="AK235" s="105"/>
      <c r="AL235" s="386"/>
      <c r="AM235" s="386"/>
      <c r="AN235" s="51" t="s">
        <v>630</v>
      </c>
      <c r="AO235" s="51" t="s">
        <v>618</v>
      </c>
      <c r="AP235" s="52" t="s">
        <v>612</v>
      </c>
      <c r="AQ235" s="52" t="s">
        <v>37</v>
      </c>
      <c r="AR235" s="53">
        <v>44061</v>
      </c>
      <c r="AS235" s="52" t="s">
        <v>37</v>
      </c>
      <c r="AT235" s="367"/>
      <c r="AU235" s="653"/>
    </row>
    <row r="236" spans="1:47" ht="39.75" thickBot="1" x14ac:dyDescent="0.3">
      <c r="A236" s="488"/>
      <c r="B236" s="131"/>
      <c r="C236" s="75"/>
      <c r="D236" s="568"/>
      <c r="E236" s="568"/>
      <c r="F236" s="75"/>
      <c r="G236" s="143"/>
      <c r="H236" s="118"/>
      <c r="I236" s="121"/>
      <c r="J236" s="87">
        <v>113</v>
      </c>
      <c r="K236" s="360" t="s">
        <v>635</v>
      </c>
      <c r="L236" s="198">
        <v>1542416.9309</v>
      </c>
      <c r="M236" s="198">
        <v>5281645.4243999999</v>
      </c>
      <c r="N236" s="199"/>
      <c r="O236" s="199" t="s">
        <v>636</v>
      </c>
      <c r="P236" s="199" t="s">
        <v>5</v>
      </c>
      <c r="Q236" s="199"/>
      <c r="R236" s="199"/>
      <c r="S236" s="199"/>
      <c r="T236" s="332" t="s">
        <v>2253</v>
      </c>
      <c r="U236" s="85" t="s">
        <v>10</v>
      </c>
      <c r="V236" s="86" t="s">
        <v>10</v>
      </c>
      <c r="W236" s="86" t="s">
        <v>10</v>
      </c>
      <c r="X236" s="197" t="s">
        <v>5</v>
      </c>
      <c r="Y236" s="86" t="s">
        <v>637</v>
      </c>
      <c r="Z236" s="92" t="s">
        <v>638</v>
      </c>
      <c r="AA236" s="197">
        <v>1</v>
      </c>
      <c r="AB236" s="197" t="s">
        <v>639</v>
      </c>
      <c r="AC236" s="86"/>
      <c r="AD236" s="86">
        <v>1.4179999999999999</v>
      </c>
      <c r="AE236" s="86">
        <v>1.6879999999999999</v>
      </c>
      <c r="AF236" s="86"/>
      <c r="AG236" s="86"/>
      <c r="AH236" s="86"/>
      <c r="AI236" s="94" t="s">
        <v>549</v>
      </c>
      <c r="AJ236" s="106"/>
      <c r="AK236" s="106"/>
      <c r="AL236" s="387"/>
      <c r="AM236" s="387"/>
      <c r="AN236" s="94" t="s">
        <v>625</v>
      </c>
      <c r="AO236" s="94" t="s">
        <v>618</v>
      </c>
      <c r="AP236" s="92" t="s">
        <v>640</v>
      </c>
      <c r="AQ236" s="92" t="s">
        <v>37</v>
      </c>
      <c r="AR236" s="93">
        <v>44061</v>
      </c>
      <c r="AS236" s="92" t="s">
        <v>37</v>
      </c>
      <c r="AT236" s="368"/>
      <c r="AU236" s="1108"/>
    </row>
    <row r="237" spans="1:47" ht="77.25" x14ac:dyDescent="0.25">
      <c r="A237" s="488"/>
      <c r="B237" s="131"/>
      <c r="C237" s="75"/>
      <c r="D237" s="568"/>
      <c r="E237" s="568"/>
      <c r="F237" s="75"/>
      <c r="G237" s="143"/>
      <c r="H237" s="118"/>
      <c r="I237" s="121"/>
      <c r="J237" s="72">
        <v>114</v>
      </c>
      <c r="K237" s="73" t="s">
        <v>646</v>
      </c>
      <c r="L237" s="914">
        <v>1555634.0862</v>
      </c>
      <c r="M237" s="914">
        <v>5283290.7980000004</v>
      </c>
      <c r="N237" s="129"/>
      <c r="O237" s="129" t="s">
        <v>637</v>
      </c>
      <c r="P237" s="129" t="s">
        <v>5</v>
      </c>
      <c r="Q237" s="129"/>
      <c r="R237" s="129"/>
      <c r="S237" s="129"/>
      <c r="T237" s="266" t="s">
        <v>1204</v>
      </c>
      <c r="U237" s="101" t="s">
        <v>85</v>
      </c>
      <c r="V237" s="31" t="s">
        <v>16</v>
      </c>
      <c r="W237" s="31" t="s">
        <v>85</v>
      </c>
      <c r="X237" s="97" t="s">
        <v>5</v>
      </c>
      <c r="Y237" s="31" t="s">
        <v>643</v>
      </c>
      <c r="Z237" s="40" t="s">
        <v>277</v>
      </c>
      <c r="AA237" s="97">
        <v>1</v>
      </c>
      <c r="AB237" s="97" t="s">
        <v>342</v>
      </c>
      <c r="AC237" s="31">
        <v>17</v>
      </c>
      <c r="AD237" s="31">
        <v>15</v>
      </c>
      <c r="AE237" s="31">
        <v>19</v>
      </c>
      <c r="AF237" s="31"/>
      <c r="AG237" s="31"/>
      <c r="AH237" s="31"/>
      <c r="AI237" s="30" t="s">
        <v>256</v>
      </c>
      <c r="AJ237" s="130"/>
      <c r="AK237" s="130"/>
      <c r="AL237" s="372"/>
      <c r="AM237" s="372"/>
      <c r="AN237" s="30" t="s">
        <v>644</v>
      </c>
      <c r="AO237" s="30" t="s">
        <v>664</v>
      </c>
      <c r="AP237" s="40" t="s">
        <v>645</v>
      </c>
      <c r="AQ237" s="40" t="s">
        <v>37</v>
      </c>
      <c r="AR237" s="41">
        <v>44061</v>
      </c>
      <c r="AS237" s="40" t="s">
        <v>37</v>
      </c>
      <c r="AT237" s="54"/>
      <c r="AU237" s="652"/>
    </row>
    <row r="238" spans="1:47" ht="52.5" thickBot="1" x14ac:dyDescent="0.3">
      <c r="A238" s="488"/>
      <c r="B238" s="131"/>
      <c r="C238" s="75"/>
      <c r="D238" s="568"/>
      <c r="E238" s="568"/>
      <c r="F238" s="75"/>
      <c r="G238" s="143"/>
      <c r="H238" s="118"/>
      <c r="I238" s="121"/>
      <c r="J238" s="75">
        <v>115</v>
      </c>
      <c r="K238" s="76" t="s">
        <v>647</v>
      </c>
      <c r="L238" s="915">
        <v>1554087.8418000001</v>
      </c>
      <c r="M238" s="915">
        <v>5282992.4331999999</v>
      </c>
      <c r="N238" s="118"/>
      <c r="O238" s="118" t="s">
        <v>648</v>
      </c>
      <c r="P238" s="118" t="s">
        <v>5</v>
      </c>
      <c r="Q238" s="118"/>
      <c r="R238" s="118"/>
      <c r="S238" s="118"/>
      <c r="T238" s="118" t="s">
        <v>2254</v>
      </c>
      <c r="U238" s="102" t="s">
        <v>16</v>
      </c>
      <c r="V238" s="24" t="s">
        <v>16</v>
      </c>
      <c r="W238" s="24" t="s">
        <v>16</v>
      </c>
      <c r="X238" s="117" t="s">
        <v>5</v>
      </c>
      <c r="Y238" s="24" t="s">
        <v>649</v>
      </c>
      <c r="Z238" s="46" t="s">
        <v>401</v>
      </c>
      <c r="AA238" s="117">
        <v>1</v>
      </c>
      <c r="AB238" s="117" t="s">
        <v>650</v>
      </c>
      <c r="AC238" s="24">
        <v>9.42</v>
      </c>
      <c r="AD238" s="24">
        <v>3.95</v>
      </c>
      <c r="AE238" s="24">
        <v>14.89</v>
      </c>
      <c r="AF238" s="24"/>
      <c r="AG238" s="24"/>
      <c r="AH238" s="24"/>
      <c r="AI238" s="45" t="s">
        <v>376</v>
      </c>
      <c r="AJ238" s="103"/>
      <c r="AK238" s="103"/>
      <c r="AL238" s="351"/>
      <c r="AM238" s="351"/>
      <c r="AN238" s="45" t="s">
        <v>663</v>
      </c>
      <c r="AO238" s="45" t="s">
        <v>662</v>
      </c>
      <c r="AP238" s="46" t="s">
        <v>658</v>
      </c>
      <c r="AQ238" s="46" t="s">
        <v>37</v>
      </c>
      <c r="AR238" s="47">
        <v>44061</v>
      </c>
      <c r="AS238" s="46" t="s">
        <v>37</v>
      </c>
      <c r="AT238" s="365"/>
      <c r="AU238" s="1107"/>
    </row>
    <row r="239" spans="1:47" ht="52.5" thickBot="1" x14ac:dyDescent="0.3">
      <c r="A239" s="489"/>
      <c r="B239" s="133"/>
      <c r="C239" s="78"/>
      <c r="D239" s="569"/>
      <c r="E239" s="569"/>
      <c r="F239" s="78"/>
      <c r="G239" s="144"/>
      <c r="H239" s="119"/>
      <c r="I239" s="429"/>
      <c r="J239" s="87">
        <v>116</v>
      </c>
      <c r="K239" s="360" t="s">
        <v>651</v>
      </c>
      <c r="L239" s="198">
        <v>1561936.2697999999</v>
      </c>
      <c r="M239" s="198">
        <v>5284132.0663999999</v>
      </c>
      <c r="N239" s="199"/>
      <c r="O239" s="199" t="s">
        <v>654</v>
      </c>
      <c r="P239" s="199" t="s">
        <v>61</v>
      </c>
      <c r="Q239" s="199"/>
      <c r="R239" s="199"/>
      <c r="S239" s="199"/>
      <c r="T239" s="199" t="s">
        <v>2255</v>
      </c>
      <c r="U239" s="85" t="s">
        <v>16</v>
      </c>
      <c r="V239" s="86" t="s">
        <v>16</v>
      </c>
      <c r="W239" s="86" t="s">
        <v>16</v>
      </c>
      <c r="X239" s="197" t="s">
        <v>5</v>
      </c>
      <c r="Y239" s="86" t="s">
        <v>652</v>
      </c>
      <c r="Z239" s="92" t="s">
        <v>401</v>
      </c>
      <c r="AA239" s="197">
        <v>1</v>
      </c>
      <c r="AB239" s="197" t="s">
        <v>656</v>
      </c>
      <c r="AC239" s="86">
        <v>3.4950000000000001</v>
      </c>
      <c r="AD239" s="86">
        <v>3.3759999999999999</v>
      </c>
      <c r="AE239" s="86">
        <v>3.625</v>
      </c>
      <c r="AF239" s="86"/>
      <c r="AG239" s="86"/>
      <c r="AH239" s="86"/>
      <c r="AI239" s="94" t="s">
        <v>549</v>
      </c>
      <c r="AJ239" s="106"/>
      <c r="AK239" s="106"/>
      <c r="AL239" s="387"/>
      <c r="AM239" s="387"/>
      <c r="AN239" s="94" t="s">
        <v>655</v>
      </c>
      <c r="AO239" s="94" t="s">
        <v>6927</v>
      </c>
      <c r="AP239" s="92" t="s">
        <v>653</v>
      </c>
      <c r="AQ239" s="92" t="s">
        <v>37</v>
      </c>
      <c r="AR239" s="93">
        <v>44061</v>
      </c>
      <c r="AS239" s="92" t="s">
        <v>37</v>
      </c>
      <c r="AT239" s="368"/>
      <c r="AU239" s="1108"/>
    </row>
    <row r="240" spans="1:47" s="8" customFormat="1" ht="52.5" thickBot="1" x14ac:dyDescent="0.3">
      <c r="A240" s="635" t="s">
        <v>641</v>
      </c>
      <c r="B240" s="316" t="s">
        <v>6809</v>
      </c>
      <c r="C240" s="254">
        <v>546</v>
      </c>
      <c r="D240" s="316" t="s">
        <v>53</v>
      </c>
      <c r="E240" s="316" t="s">
        <v>52</v>
      </c>
      <c r="F240" s="255" t="s">
        <v>152</v>
      </c>
      <c r="G240" s="255" t="s">
        <v>1972</v>
      </c>
      <c r="H240" s="255" t="s">
        <v>2244</v>
      </c>
      <c r="I240" s="297" t="s">
        <v>2245</v>
      </c>
      <c r="J240" s="110">
        <v>1198</v>
      </c>
      <c r="K240" s="449" t="s">
        <v>2160</v>
      </c>
      <c r="L240" s="908">
        <v>1656904.0423000001</v>
      </c>
      <c r="M240" s="908">
        <v>5315889.3417999996</v>
      </c>
      <c r="N240" s="296"/>
      <c r="O240" s="296" t="s">
        <v>2161</v>
      </c>
      <c r="P240" s="296" t="s">
        <v>61</v>
      </c>
      <c r="Q240" s="296"/>
      <c r="R240" s="296"/>
      <c r="S240" s="296"/>
      <c r="T240" s="295" t="s">
        <v>2162</v>
      </c>
      <c r="U240" s="293" t="s">
        <v>16</v>
      </c>
      <c r="V240" s="293" t="s">
        <v>85</v>
      </c>
      <c r="W240" s="293" t="s">
        <v>85</v>
      </c>
      <c r="X240" s="293" t="s">
        <v>61</v>
      </c>
      <c r="Y240" s="293" t="s">
        <v>2163</v>
      </c>
      <c r="Z240" s="342" t="s">
        <v>2164</v>
      </c>
      <c r="AA240" s="293"/>
      <c r="AB240" s="293" t="s">
        <v>2165</v>
      </c>
      <c r="AC240" s="293">
        <v>6.29</v>
      </c>
      <c r="AD240" s="293">
        <v>5.34</v>
      </c>
      <c r="AE240" s="293">
        <v>7.24</v>
      </c>
      <c r="AF240" s="293"/>
      <c r="AG240" s="293"/>
      <c r="AH240" s="293"/>
      <c r="AI240" s="292" t="s">
        <v>376</v>
      </c>
      <c r="AJ240" s="307"/>
      <c r="AK240" s="293"/>
      <c r="AL240" s="293"/>
      <c r="AM240" s="293"/>
      <c r="AN240" s="292" t="s">
        <v>2167</v>
      </c>
      <c r="AO240" s="292" t="s">
        <v>2168</v>
      </c>
      <c r="AP240" s="292" t="s">
        <v>2169</v>
      </c>
      <c r="AQ240" s="292" t="s">
        <v>1380</v>
      </c>
      <c r="AR240" s="291">
        <v>44098</v>
      </c>
      <c r="AS240" s="292" t="s">
        <v>1380</v>
      </c>
      <c r="AT240" s="291">
        <v>44109</v>
      </c>
      <c r="AU240" s="290" t="s">
        <v>37</v>
      </c>
    </row>
    <row r="241" spans="1:47" s="8" customFormat="1" ht="39.75" thickBot="1" x14ac:dyDescent="0.3">
      <c r="A241" s="636"/>
      <c r="B241" s="315"/>
      <c r="C241" s="261"/>
      <c r="D241" s="315"/>
      <c r="E241" s="315"/>
      <c r="F241" s="262"/>
      <c r="G241" s="262"/>
      <c r="H241" s="262"/>
      <c r="I241" s="299"/>
      <c r="J241" s="476">
        <v>1206</v>
      </c>
      <c r="K241" s="449" t="s">
        <v>2170</v>
      </c>
      <c r="L241" s="908">
        <v>1656792.2486</v>
      </c>
      <c r="M241" s="908">
        <v>5315792.3689000001</v>
      </c>
      <c r="N241" s="296"/>
      <c r="O241" s="296" t="s">
        <v>2171</v>
      </c>
      <c r="P241" s="296" t="s">
        <v>61</v>
      </c>
      <c r="Q241" s="296"/>
      <c r="R241" s="296"/>
      <c r="S241" s="296"/>
      <c r="T241" s="295" t="s">
        <v>2172</v>
      </c>
      <c r="U241" s="293" t="s">
        <v>16</v>
      </c>
      <c r="V241" s="293" t="s">
        <v>85</v>
      </c>
      <c r="W241" s="293" t="s">
        <v>85</v>
      </c>
      <c r="X241" s="293" t="s">
        <v>61</v>
      </c>
      <c r="Y241" s="293" t="s">
        <v>2173</v>
      </c>
      <c r="Z241" s="342" t="s">
        <v>604</v>
      </c>
      <c r="AA241" s="293"/>
      <c r="AB241" s="293" t="s">
        <v>2165</v>
      </c>
      <c r="AC241" s="293">
        <v>6.29</v>
      </c>
      <c r="AD241" s="293">
        <v>5.34</v>
      </c>
      <c r="AE241" s="293">
        <v>7.24</v>
      </c>
      <c r="AF241" s="293"/>
      <c r="AG241" s="293"/>
      <c r="AH241" s="293"/>
      <c r="AI241" s="292" t="s">
        <v>376</v>
      </c>
      <c r="AJ241" s="307"/>
      <c r="AK241" s="293"/>
      <c r="AL241" s="293"/>
      <c r="AM241" s="293"/>
      <c r="AN241" s="292" t="s">
        <v>2167</v>
      </c>
      <c r="AO241" s="292" t="s">
        <v>2174</v>
      </c>
      <c r="AP241" s="292" t="s">
        <v>877</v>
      </c>
      <c r="AQ241" s="292" t="s">
        <v>1380</v>
      </c>
      <c r="AR241" s="291">
        <v>44098</v>
      </c>
      <c r="AS241" s="292" t="s">
        <v>1380</v>
      </c>
      <c r="AT241" s="291">
        <v>44109</v>
      </c>
      <c r="AU241" s="290" t="s">
        <v>37</v>
      </c>
    </row>
    <row r="242" spans="1:47" s="135" customFormat="1" ht="51.75" x14ac:dyDescent="0.25">
      <c r="A242" s="487" t="s">
        <v>1943</v>
      </c>
      <c r="B242" s="128" t="s">
        <v>1943</v>
      </c>
      <c r="C242" s="72">
        <v>200</v>
      </c>
      <c r="D242" s="586" t="s">
        <v>57</v>
      </c>
      <c r="E242" s="586"/>
      <c r="F242" s="72" t="s">
        <v>668</v>
      </c>
      <c r="G242" s="140" t="s">
        <v>1238</v>
      </c>
      <c r="H242" s="129" t="s">
        <v>5296</v>
      </c>
      <c r="I242" s="381" t="s">
        <v>150</v>
      </c>
      <c r="J242" s="187">
        <v>278</v>
      </c>
      <c r="K242" s="73" t="s">
        <v>1944</v>
      </c>
      <c r="L242" s="914">
        <v>1883415.6407999999</v>
      </c>
      <c r="M242" s="914">
        <v>5768903.1900000004</v>
      </c>
      <c r="N242" s="129"/>
      <c r="O242" s="129" t="s">
        <v>1946</v>
      </c>
      <c r="P242" s="129" t="s">
        <v>194</v>
      </c>
      <c r="Q242" s="1070"/>
      <c r="R242" s="1070"/>
      <c r="S242" s="1070"/>
      <c r="T242" s="129" t="s">
        <v>1953</v>
      </c>
      <c r="U242" s="169" t="s">
        <v>16</v>
      </c>
      <c r="V242" s="151" t="s">
        <v>16</v>
      </c>
      <c r="W242" s="151" t="s">
        <v>16</v>
      </c>
      <c r="X242" s="153" t="s">
        <v>194</v>
      </c>
      <c r="Y242" s="153" t="s">
        <v>1947</v>
      </c>
      <c r="Z242" s="152" t="s">
        <v>1948</v>
      </c>
      <c r="AA242" s="153">
        <v>1</v>
      </c>
      <c r="AB242" s="153" t="s">
        <v>1949</v>
      </c>
      <c r="AC242" s="153">
        <v>26</v>
      </c>
      <c r="AD242" s="151">
        <v>25</v>
      </c>
      <c r="AE242" s="151">
        <v>27</v>
      </c>
      <c r="AF242" s="151"/>
      <c r="AG242" s="151"/>
      <c r="AH242" s="151"/>
      <c r="AI242" s="203" t="s">
        <v>1915</v>
      </c>
      <c r="AJ242" s="202"/>
      <c r="AK242" s="202"/>
      <c r="AL242" s="442"/>
      <c r="AM242" s="442"/>
      <c r="AN242" s="203" t="s">
        <v>1954</v>
      </c>
      <c r="AO242" s="203" t="s">
        <v>1950</v>
      </c>
      <c r="AP242" s="152" t="s">
        <v>1952</v>
      </c>
      <c r="AQ242" s="152" t="s">
        <v>37</v>
      </c>
      <c r="AR242" s="170">
        <v>44104</v>
      </c>
      <c r="AS242" s="152" t="s">
        <v>37</v>
      </c>
      <c r="AT242" s="361"/>
      <c r="AU242" s="1112"/>
    </row>
    <row r="243" spans="1:47" s="135" customFormat="1" ht="52.5" thickBot="1" x14ac:dyDescent="0.3">
      <c r="A243" s="489"/>
      <c r="B243" s="133"/>
      <c r="C243" s="78"/>
      <c r="D243" s="569"/>
      <c r="E243" s="569"/>
      <c r="F243" s="78"/>
      <c r="G243" s="144"/>
      <c r="H243" s="119"/>
      <c r="I243" s="429"/>
      <c r="J243" s="192">
        <v>279</v>
      </c>
      <c r="K243" s="79" t="s">
        <v>1945</v>
      </c>
      <c r="L243" s="916">
        <v>1883350.1562999999</v>
      </c>
      <c r="M243" s="916">
        <v>5768867.4711999996</v>
      </c>
      <c r="N243" s="119"/>
      <c r="O243" s="119">
        <v>0.14000000000000001</v>
      </c>
      <c r="P243" s="119" t="s">
        <v>194</v>
      </c>
      <c r="Q243" s="119"/>
      <c r="R243" s="119"/>
      <c r="S243" s="119"/>
      <c r="T243" s="119" t="s">
        <v>1955</v>
      </c>
      <c r="U243" s="171" t="s">
        <v>16</v>
      </c>
      <c r="V243" s="154" t="s">
        <v>16</v>
      </c>
      <c r="W243" s="154" t="s">
        <v>16</v>
      </c>
      <c r="X243" s="156" t="s">
        <v>194</v>
      </c>
      <c r="Y243" s="156">
        <v>2.2000000000000002</v>
      </c>
      <c r="Z243" s="155" t="s">
        <v>1948</v>
      </c>
      <c r="AA243" s="156">
        <v>1</v>
      </c>
      <c r="AB243" s="156">
        <v>15.7</v>
      </c>
      <c r="AC243" s="156">
        <v>15.7</v>
      </c>
      <c r="AD243" s="154"/>
      <c r="AE243" s="154"/>
      <c r="AF243" s="154"/>
      <c r="AG243" s="154"/>
      <c r="AH243" s="154"/>
      <c r="AI243" s="183" t="s">
        <v>1915</v>
      </c>
      <c r="AJ243" s="201"/>
      <c r="AK243" s="201"/>
      <c r="AL243" s="443"/>
      <c r="AM243" s="443"/>
      <c r="AN243" s="183" t="s">
        <v>1956</v>
      </c>
      <c r="AO243" s="183" t="s">
        <v>1951</v>
      </c>
      <c r="AP243" s="155" t="s">
        <v>1952</v>
      </c>
      <c r="AQ243" s="155" t="s">
        <v>37</v>
      </c>
      <c r="AR243" s="172">
        <v>44104</v>
      </c>
      <c r="AS243" s="155" t="s">
        <v>37</v>
      </c>
      <c r="AT243" s="362"/>
      <c r="AU243" s="1111"/>
    </row>
    <row r="244" spans="1:47" s="8" customFormat="1" ht="39.75" thickBot="1" x14ac:dyDescent="0.3">
      <c r="A244" s="635" t="s">
        <v>1554</v>
      </c>
      <c r="B244" s="316" t="s">
        <v>6810</v>
      </c>
      <c r="C244" s="254">
        <v>350</v>
      </c>
      <c r="D244" s="316" t="s">
        <v>52</v>
      </c>
      <c r="E244" s="316"/>
      <c r="F244" s="255" t="s">
        <v>1553</v>
      </c>
      <c r="G244" s="255" t="s">
        <v>1263</v>
      </c>
      <c r="H244" s="255" t="s">
        <v>5291</v>
      </c>
      <c r="I244" s="297" t="s">
        <v>150</v>
      </c>
      <c r="J244" s="252">
        <v>1136</v>
      </c>
      <c r="K244" s="253" t="s">
        <v>1552</v>
      </c>
      <c r="L244" s="897">
        <v>1808722.2727000001</v>
      </c>
      <c r="M244" s="897">
        <v>5430421.8493999997</v>
      </c>
      <c r="N244" s="255"/>
      <c r="O244" s="255" t="s">
        <v>1551</v>
      </c>
      <c r="P244" s="255" t="s">
        <v>194</v>
      </c>
      <c r="Q244" s="255"/>
      <c r="R244" s="255"/>
      <c r="S244" s="255"/>
      <c r="T244" s="289" t="s">
        <v>1274</v>
      </c>
      <c r="U244" s="287" t="s">
        <v>16</v>
      </c>
      <c r="V244" s="287" t="s">
        <v>85</v>
      </c>
      <c r="W244" s="287" t="s">
        <v>16</v>
      </c>
      <c r="X244" s="287" t="s">
        <v>194</v>
      </c>
      <c r="Y244" s="287" t="s">
        <v>1550</v>
      </c>
      <c r="Z244" s="389" t="s">
        <v>5074</v>
      </c>
      <c r="AA244" s="287"/>
      <c r="AB244" s="287" t="s">
        <v>786</v>
      </c>
      <c r="AC244" s="287">
        <v>12</v>
      </c>
      <c r="AD244" s="287">
        <v>10</v>
      </c>
      <c r="AE244" s="287">
        <v>14</v>
      </c>
      <c r="AF244" s="287"/>
      <c r="AG244" s="287"/>
      <c r="AH244" s="287"/>
      <c r="AI244" s="286" t="s">
        <v>256</v>
      </c>
      <c r="AJ244" s="287"/>
      <c r="AK244" s="287"/>
      <c r="AL244" s="287"/>
      <c r="AM244" s="287"/>
      <c r="AN244" s="286" t="s">
        <v>6930</v>
      </c>
      <c r="AO244" s="286" t="s">
        <v>6931</v>
      </c>
      <c r="AP244" s="286" t="s">
        <v>6932</v>
      </c>
      <c r="AQ244" s="286" t="s">
        <v>1380</v>
      </c>
      <c r="AR244" s="285">
        <v>44082</v>
      </c>
      <c r="AS244" s="286" t="s">
        <v>1380</v>
      </c>
      <c r="AT244" s="285">
        <v>44089</v>
      </c>
      <c r="AU244" s="284" t="s">
        <v>37</v>
      </c>
    </row>
    <row r="245" spans="1:47" s="8" customFormat="1" ht="39.75" thickBot="1" x14ac:dyDescent="0.3">
      <c r="A245" s="636"/>
      <c r="B245" s="315"/>
      <c r="C245" s="261"/>
      <c r="D245" s="315"/>
      <c r="E245" s="315"/>
      <c r="F245" s="262"/>
      <c r="G245" s="262"/>
      <c r="H245" s="262"/>
      <c r="I245" s="299"/>
      <c r="J245" s="260">
        <v>1139</v>
      </c>
      <c r="K245" s="363" t="s">
        <v>1549</v>
      </c>
      <c r="L245" s="898">
        <v>1810119.8089999999</v>
      </c>
      <c r="M245" s="898">
        <v>5431100.5522999996</v>
      </c>
      <c r="N245" s="262"/>
      <c r="O245" s="262" t="s">
        <v>1548</v>
      </c>
      <c r="P245" s="262" t="s">
        <v>194</v>
      </c>
      <c r="Q245" s="262"/>
      <c r="R245" s="262"/>
      <c r="S245" s="262"/>
      <c r="T245" s="274" t="s">
        <v>1547</v>
      </c>
      <c r="U245" s="314" t="s">
        <v>16</v>
      </c>
      <c r="V245" s="293" t="s">
        <v>85</v>
      </c>
      <c r="W245" s="293" t="s">
        <v>16</v>
      </c>
      <c r="X245" s="293" t="s">
        <v>194</v>
      </c>
      <c r="Y245" s="293" t="s">
        <v>1546</v>
      </c>
      <c r="Z245" s="342" t="s">
        <v>5075</v>
      </c>
      <c r="AA245" s="293"/>
      <c r="AB245" s="293" t="s">
        <v>668</v>
      </c>
      <c r="AC245" s="293">
        <v>60</v>
      </c>
      <c r="AD245" s="293">
        <v>50</v>
      </c>
      <c r="AE245" s="293">
        <v>70</v>
      </c>
      <c r="AF245" s="293"/>
      <c r="AG245" s="293"/>
      <c r="AH245" s="293"/>
      <c r="AI245" s="292" t="s">
        <v>256</v>
      </c>
      <c r="AJ245" s="293"/>
      <c r="AK245" s="293"/>
      <c r="AL245" s="293"/>
      <c r="AM245" s="293"/>
      <c r="AN245" s="292" t="s">
        <v>1545</v>
      </c>
      <c r="AO245" s="292" t="s">
        <v>1544</v>
      </c>
      <c r="AP245" s="292" t="s">
        <v>1543</v>
      </c>
      <c r="AQ245" s="292" t="s">
        <v>1380</v>
      </c>
      <c r="AR245" s="291">
        <v>44082</v>
      </c>
      <c r="AS245" s="292" t="s">
        <v>1380</v>
      </c>
      <c r="AT245" s="291">
        <v>44089</v>
      </c>
      <c r="AU245" s="290" t="s">
        <v>37</v>
      </c>
    </row>
    <row r="246" spans="1:47" ht="52.5" thickBot="1" x14ac:dyDescent="0.3">
      <c r="A246" s="345" t="s">
        <v>1853</v>
      </c>
      <c r="B246" s="331" t="s">
        <v>1853</v>
      </c>
      <c r="C246" s="83">
        <v>34</v>
      </c>
      <c r="D246" s="588" t="s">
        <v>57</v>
      </c>
      <c r="E246" s="588"/>
      <c r="F246" s="83" t="s">
        <v>155</v>
      </c>
      <c r="G246" s="268" t="s">
        <v>1238</v>
      </c>
      <c r="H246" s="199" t="s">
        <v>5297</v>
      </c>
      <c r="I246" s="331" t="s">
        <v>5298</v>
      </c>
      <c r="J246" s="87">
        <v>253</v>
      </c>
      <c r="K246" s="360" t="s">
        <v>1858</v>
      </c>
      <c r="L246" s="198">
        <v>1680301.6314999999</v>
      </c>
      <c r="M246" s="198">
        <v>5640415.6255000001</v>
      </c>
      <c r="N246" s="199"/>
      <c r="O246" s="199" t="s">
        <v>1865</v>
      </c>
      <c r="P246" s="83" t="s">
        <v>194</v>
      </c>
      <c r="Q246" s="1088"/>
      <c r="R246" s="1088"/>
      <c r="S246" s="1088"/>
      <c r="T246" s="332" t="s">
        <v>1872</v>
      </c>
      <c r="U246" s="86" t="s">
        <v>16</v>
      </c>
      <c r="V246" s="86" t="s">
        <v>16</v>
      </c>
      <c r="W246" s="86" t="s">
        <v>16</v>
      </c>
      <c r="X246" s="86" t="s">
        <v>194</v>
      </c>
      <c r="Y246" s="86" t="s">
        <v>1878</v>
      </c>
      <c r="Z246" s="92" t="s">
        <v>1086</v>
      </c>
      <c r="AA246" s="86">
        <v>1</v>
      </c>
      <c r="AB246" s="86">
        <v>5</v>
      </c>
      <c r="AC246" s="86">
        <v>5</v>
      </c>
      <c r="AD246" s="86"/>
      <c r="AE246" s="86"/>
      <c r="AF246" s="86"/>
      <c r="AG246" s="387"/>
      <c r="AH246" s="387"/>
      <c r="AI246" s="94" t="s">
        <v>549</v>
      </c>
      <c r="AJ246" s="106"/>
      <c r="AK246" s="106"/>
      <c r="AL246" s="387"/>
      <c r="AM246" s="387"/>
      <c r="AN246" s="92" t="s">
        <v>1882</v>
      </c>
      <c r="AO246" s="92" t="s">
        <v>1886</v>
      </c>
      <c r="AP246" s="92" t="s">
        <v>1868</v>
      </c>
      <c r="AQ246" s="92" t="s">
        <v>37</v>
      </c>
      <c r="AR246" s="93">
        <v>44103</v>
      </c>
      <c r="AS246" s="92" t="s">
        <v>37</v>
      </c>
      <c r="AT246" s="368"/>
      <c r="AU246" s="1108"/>
    </row>
    <row r="247" spans="1:47" s="8" customFormat="1" ht="52.5" thickBot="1" x14ac:dyDescent="0.3">
      <c r="A247" s="1043" t="s">
        <v>3572</v>
      </c>
      <c r="B247" s="577" t="s">
        <v>3571</v>
      </c>
      <c r="C247" s="483">
        <v>532</v>
      </c>
      <c r="D247" s="577" t="s">
        <v>52</v>
      </c>
      <c r="E247" s="577"/>
      <c r="F247" s="484" t="s">
        <v>2084</v>
      </c>
      <c r="G247" s="484" t="s">
        <v>1263</v>
      </c>
      <c r="H247" s="484" t="s">
        <v>5299</v>
      </c>
      <c r="I247" s="485" t="s">
        <v>5300</v>
      </c>
      <c r="J247" s="483">
        <v>1309</v>
      </c>
      <c r="K247" s="620" t="s">
        <v>3570</v>
      </c>
      <c r="L247" s="917">
        <v>1513361.5031000001</v>
      </c>
      <c r="M247" s="917">
        <v>5368108.8903999999</v>
      </c>
      <c r="N247" s="484"/>
      <c r="O247" s="484">
        <v>0.1</v>
      </c>
      <c r="P247" s="484" t="s">
        <v>194</v>
      </c>
      <c r="Q247" s="484"/>
      <c r="R247" s="484"/>
      <c r="S247" s="484"/>
      <c r="T247" s="629" t="s">
        <v>3569</v>
      </c>
      <c r="U247" s="293" t="s">
        <v>85</v>
      </c>
      <c r="V247" s="293" t="s">
        <v>16</v>
      </c>
      <c r="W247" s="293" t="s">
        <v>85</v>
      </c>
      <c r="X247" s="293" t="s">
        <v>194</v>
      </c>
      <c r="Y247" s="293" t="s">
        <v>3568</v>
      </c>
      <c r="Z247" s="342" t="s">
        <v>1557</v>
      </c>
      <c r="AA247" s="293"/>
      <c r="AB247" s="293">
        <v>18</v>
      </c>
      <c r="AC247" s="293"/>
      <c r="AD247" s="293"/>
      <c r="AE247" s="293"/>
      <c r="AF247" s="293"/>
      <c r="AG247" s="293"/>
      <c r="AH247" s="293"/>
      <c r="AI247" s="292" t="s">
        <v>256</v>
      </c>
      <c r="AJ247" s="293"/>
      <c r="AK247" s="293"/>
      <c r="AL247" s="293"/>
      <c r="AM247" s="293"/>
      <c r="AN247" s="292" t="s">
        <v>3573</v>
      </c>
      <c r="AO247" s="292" t="s">
        <v>3567</v>
      </c>
      <c r="AP247" s="292" t="s">
        <v>3566</v>
      </c>
      <c r="AQ247" s="292" t="s">
        <v>1380</v>
      </c>
      <c r="AR247" s="291">
        <v>44244</v>
      </c>
      <c r="AS247" s="292" t="s">
        <v>1380</v>
      </c>
      <c r="AT247" s="291">
        <v>44148</v>
      </c>
      <c r="AU247" s="290" t="s">
        <v>3565</v>
      </c>
    </row>
    <row r="248" spans="1:47" s="135" customFormat="1" ht="52.5" thickBot="1" x14ac:dyDescent="0.3">
      <c r="A248" s="341" t="s">
        <v>1958</v>
      </c>
      <c r="B248" s="181" t="s">
        <v>1958</v>
      </c>
      <c r="C248" s="125">
        <v>27</v>
      </c>
      <c r="D248" s="585" t="s">
        <v>57</v>
      </c>
      <c r="E248" s="585"/>
      <c r="F248" s="125" t="s">
        <v>668</v>
      </c>
      <c r="G248" s="145" t="s">
        <v>1238</v>
      </c>
      <c r="H248" s="126" t="s">
        <v>5306</v>
      </c>
      <c r="I248" s="247" t="s">
        <v>5307</v>
      </c>
      <c r="J248" s="189">
        <v>264</v>
      </c>
      <c r="K248" s="355" t="s">
        <v>1960</v>
      </c>
      <c r="L248" s="911">
        <v>1711026.8470000001</v>
      </c>
      <c r="M248" s="911">
        <v>5668676.4188000001</v>
      </c>
      <c r="N248" s="126"/>
      <c r="O248" s="126">
        <v>0.2</v>
      </c>
      <c r="P248" s="126" t="s">
        <v>194</v>
      </c>
      <c r="Q248" s="126"/>
      <c r="R248" s="126"/>
      <c r="S248" s="126"/>
      <c r="T248" s="126" t="s">
        <v>1965</v>
      </c>
      <c r="U248" s="169" t="s">
        <v>16</v>
      </c>
      <c r="V248" s="151" t="s">
        <v>16</v>
      </c>
      <c r="W248" s="151" t="s">
        <v>16</v>
      </c>
      <c r="X248" s="153" t="s">
        <v>194</v>
      </c>
      <c r="Y248" s="153">
        <v>2.8</v>
      </c>
      <c r="Z248" s="152" t="s">
        <v>1963</v>
      </c>
      <c r="AA248" s="153">
        <v>1</v>
      </c>
      <c r="AB248" s="153" t="s">
        <v>1964</v>
      </c>
      <c r="AC248" s="153"/>
      <c r="AD248" s="151"/>
      <c r="AE248" s="151"/>
      <c r="AF248" s="151"/>
      <c r="AG248" s="151"/>
      <c r="AH248" s="151"/>
      <c r="AI248" s="203" t="s">
        <v>256</v>
      </c>
      <c r="AJ248" s="202"/>
      <c r="AK248" s="202"/>
      <c r="AL248" s="442"/>
      <c r="AM248" s="442"/>
      <c r="AN248" s="203" t="s">
        <v>1966</v>
      </c>
      <c r="AO248" s="203" t="s">
        <v>1968</v>
      </c>
      <c r="AP248" s="152" t="s">
        <v>1957</v>
      </c>
      <c r="AQ248" s="152" t="s">
        <v>37</v>
      </c>
      <c r="AR248" s="170">
        <v>44105</v>
      </c>
      <c r="AS248" s="152" t="s">
        <v>37</v>
      </c>
      <c r="AT248" s="361"/>
      <c r="AU248" s="1112"/>
    </row>
    <row r="249" spans="1:47" s="135" customFormat="1" ht="52.5" thickBot="1" x14ac:dyDescent="0.3">
      <c r="A249" s="336"/>
      <c r="B249" s="196"/>
      <c r="C249" s="96"/>
      <c r="D249" s="566"/>
      <c r="E249" s="566"/>
      <c r="F249" s="96"/>
      <c r="G249" s="147"/>
      <c r="H249" s="107"/>
      <c r="I249" s="123"/>
      <c r="J249" s="89">
        <v>265</v>
      </c>
      <c r="K249" s="396" t="s">
        <v>1961</v>
      </c>
      <c r="L249" s="265">
        <v>1699200.8115999999</v>
      </c>
      <c r="M249" s="265">
        <v>5663433.6945000002</v>
      </c>
      <c r="N249" s="109"/>
      <c r="O249" s="109">
        <v>0.2</v>
      </c>
      <c r="P249" s="109" t="s">
        <v>194</v>
      </c>
      <c r="Q249" s="109"/>
      <c r="R249" s="109"/>
      <c r="S249" s="109"/>
      <c r="T249" s="109" t="s">
        <v>1962</v>
      </c>
      <c r="U249" s="206" t="s">
        <v>16</v>
      </c>
      <c r="V249" s="204" t="s">
        <v>16</v>
      </c>
      <c r="W249" s="204" t="s">
        <v>16</v>
      </c>
      <c r="X249" s="176" t="s">
        <v>194</v>
      </c>
      <c r="Y249" s="176">
        <v>3</v>
      </c>
      <c r="Z249" s="208" t="s">
        <v>1963</v>
      </c>
      <c r="AA249" s="176">
        <v>1</v>
      </c>
      <c r="AB249" s="176" t="s">
        <v>1964</v>
      </c>
      <c r="AC249" s="176"/>
      <c r="AD249" s="204"/>
      <c r="AE249" s="204"/>
      <c r="AF249" s="204"/>
      <c r="AG249" s="204"/>
      <c r="AH249" s="204"/>
      <c r="AI249" s="207" t="s">
        <v>256</v>
      </c>
      <c r="AJ249" s="205"/>
      <c r="AK249" s="205"/>
      <c r="AL249" s="353"/>
      <c r="AM249" s="353"/>
      <c r="AN249" s="207" t="s">
        <v>1967</v>
      </c>
      <c r="AO249" s="207" t="s">
        <v>1968</v>
      </c>
      <c r="AP249" s="208" t="s">
        <v>1957</v>
      </c>
      <c r="AQ249" s="208" t="s">
        <v>37</v>
      </c>
      <c r="AR249" s="209">
        <v>44105</v>
      </c>
      <c r="AS249" s="208" t="s">
        <v>37</v>
      </c>
      <c r="AT249" s="364"/>
      <c r="AU249" s="1109"/>
    </row>
    <row r="250" spans="1:47" s="135" customFormat="1" ht="64.5" x14ac:dyDescent="0.25">
      <c r="A250" s="807" t="s">
        <v>1269</v>
      </c>
      <c r="B250" s="349" t="s">
        <v>1269</v>
      </c>
      <c r="C250" s="157">
        <v>693</v>
      </c>
      <c r="D250" s="592" t="s">
        <v>52</v>
      </c>
      <c r="E250" s="592" t="s">
        <v>53</v>
      </c>
      <c r="F250" s="157" t="s">
        <v>1262</v>
      </c>
      <c r="G250" s="158" t="s">
        <v>1973</v>
      </c>
      <c r="H250" s="159" t="s">
        <v>5308</v>
      </c>
      <c r="I250" s="450" t="s">
        <v>5309</v>
      </c>
      <c r="J250" s="193">
        <v>231</v>
      </c>
      <c r="K250" s="433" t="s">
        <v>1270</v>
      </c>
      <c r="L250" s="924">
        <v>1386237.4194</v>
      </c>
      <c r="M250" s="924">
        <v>5123845.8519000001</v>
      </c>
      <c r="N250" s="159"/>
      <c r="O250" s="159" t="s">
        <v>1286</v>
      </c>
      <c r="P250" s="159" t="s">
        <v>193</v>
      </c>
      <c r="Q250" s="159"/>
      <c r="R250" s="159"/>
      <c r="S250" s="159"/>
      <c r="T250" s="159" t="s">
        <v>1273</v>
      </c>
      <c r="U250" s="169" t="s">
        <v>16</v>
      </c>
      <c r="V250" s="151" t="s">
        <v>10</v>
      </c>
      <c r="W250" s="151" t="s">
        <v>16</v>
      </c>
      <c r="X250" s="153" t="s">
        <v>193</v>
      </c>
      <c r="Y250" s="153" t="s">
        <v>41</v>
      </c>
      <c r="Z250" s="152" t="s">
        <v>1253</v>
      </c>
      <c r="AA250" s="153">
        <v>1</v>
      </c>
      <c r="AB250" s="153" t="s">
        <v>1255</v>
      </c>
      <c r="AC250" s="151">
        <v>104.9</v>
      </c>
      <c r="AD250" s="151">
        <v>98.9</v>
      </c>
      <c r="AE250" s="151">
        <v>110.9</v>
      </c>
      <c r="AF250" s="151"/>
      <c r="AG250" s="151"/>
      <c r="AH250" s="151"/>
      <c r="AI250" s="203" t="s">
        <v>23</v>
      </c>
      <c r="AJ250" s="202"/>
      <c r="AK250" s="202"/>
      <c r="AL250" s="442"/>
      <c r="AM250" s="442"/>
      <c r="AN250" s="30" t="s">
        <v>1276</v>
      </c>
      <c r="AO250" s="30" t="s">
        <v>1259</v>
      </c>
      <c r="AP250" s="152" t="s">
        <v>1261</v>
      </c>
      <c r="AQ250" s="152" t="s">
        <v>37</v>
      </c>
      <c r="AR250" s="170">
        <v>44095</v>
      </c>
      <c r="AS250" s="152" t="s">
        <v>37</v>
      </c>
      <c r="AT250" s="361"/>
      <c r="AU250" s="1112"/>
    </row>
    <row r="251" spans="1:47" s="135" customFormat="1" ht="64.5" x14ac:dyDescent="0.25">
      <c r="A251" s="808"/>
      <c r="B251" s="550"/>
      <c r="C251" s="161"/>
      <c r="D251" s="573"/>
      <c r="E251" s="573"/>
      <c r="F251" s="161"/>
      <c r="G251" s="162"/>
      <c r="H251" s="163"/>
      <c r="I251" s="423"/>
      <c r="J251" s="194">
        <v>232</v>
      </c>
      <c r="K251" s="434" t="s">
        <v>1271</v>
      </c>
      <c r="L251" s="919">
        <v>1386539.0449999999</v>
      </c>
      <c r="M251" s="919">
        <v>5124131.6025</v>
      </c>
      <c r="N251" s="163"/>
      <c r="O251" s="163" t="s">
        <v>1287</v>
      </c>
      <c r="P251" s="163" t="s">
        <v>193</v>
      </c>
      <c r="Q251" s="163"/>
      <c r="R251" s="163"/>
      <c r="S251" s="163"/>
      <c r="T251" s="163" t="s">
        <v>1274</v>
      </c>
      <c r="U251" s="138" t="s">
        <v>16</v>
      </c>
      <c r="V251" s="136" t="s">
        <v>10</v>
      </c>
      <c r="W251" s="136" t="s">
        <v>16</v>
      </c>
      <c r="X251" s="132" t="s">
        <v>193</v>
      </c>
      <c r="Y251" s="132" t="s">
        <v>41</v>
      </c>
      <c r="Z251" s="137" t="s">
        <v>1253</v>
      </c>
      <c r="AA251" s="132">
        <v>1</v>
      </c>
      <c r="AB251" s="132" t="s">
        <v>1256</v>
      </c>
      <c r="AC251" s="136">
        <v>26.5</v>
      </c>
      <c r="AD251" s="136">
        <v>22.5</v>
      </c>
      <c r="AE251" s="136">
        <v>30.5</v>
      </c>
      <c r="AF251" s="136"/>
      <c r="AG251" s="136"/>
      <c r="AH251" s="136"/>
      <c r="AI251" s="180" t="s">
        <v>256</v>
      </c>
      <c r="AJ251" s="173"/>
      <c r="AK251" s="173"/>
      <c r="AL251" s="350"/>
      <c r="AM251" s="350"/>
      <c r="AN251" s="45" t="s">
        <v>1276</v>
      </c>
      <c r="AO251" s="45" t="s">
        <v>1275</v>
      </c>
      <c r="AP251" s="137" t="s">
        <v>1261</v>
      </c>
      <c r="AQ251" s="137" t="s">
        <v>37</v>
      </c>
      <c r="AR251" s="139">
        <v>44095</v>
      </c>
      <c r="AS251" s="137" t="s">
        <v>37</v>
      </c>
      <c r="AT251" s="358"/>
      <c r="AU251" s="1110"/>
    </row>
    <row r="252" spans="1:47" s="135" customFormat="1" ht="65.25" thickBot="1" x14ac:dyDescent="0.3">
      <c r="A252" s="809"/>
      <c r="B252" s="174"/>
      <c r="C252" s="165"/>
      <c r="D252" s="574"/>
      <c r="E252" s="574"/>
      <c r="F252" s="165"/>
      <c r="G252" s="166"/>
      <c r="H252" s="167"/>
      <c r="I252" s="424"/>
      <c r="J252" s="195">
        <v>233</v>
      </c>
      <c r="K252" s="435" t="s">
        <v>1272</v>
      </c>
      <c r="L252" s="925">
        <v>1386713.6703999999</v>
      </c>
      <c r="M252" s="925">
        <v>5124322.1029000003</v>
      </c>
      <c r="N252" s="167"/>
      <c r="O252" s="167" t="s">
        <v>1286</v>
      </c>
      <c r="P252" s="167" t="s">
        <v>193</v>
      </c>
      <c r="Q252" s="167"/>
      <c r="R252" s="167"/>
      <c r="S252" s="167"/>
      <c r="T252" s="167" t="s">
        <v>1273</v>
      </c>
      <c r="U252" s="171" t="s">
        <v>16</v>
      </c>
      <c r="V252" s="154" t="s">
        <v>10</v>
      </c>
      <c r="W252" s="154" t="s">
        <v>16</v>
      </c>
      <c r="X252" s="156" t="s">
        <v>193</v>
      </c>
      <c r="Y252" s="156" t="s">
        <v>41</v>
      </c>
      <c r="Z252" s="155" t="s">
        <v>1253</v>
      </c>
      <c r="AA252" s="156">
        <v>1</v>
      </c>
      <c r="AB252" s="156" t="s">
        <v>1257</v>
      </c>
      <c r="AC252" s="154">
        <v>17.399999999999999</v>
      </c>
      <c r="AD252" s="154">
        <v>7.4</v>
      </c>
      <c r="AE252" s="154">
        <v>27.4</v>
      </c>
      <c r="AF252" s="154"/>
      <c r="AG252" s="154"/>
      <c r="AH252" s="154"/>
      <c r="AI252" s="183" t="s">
        <v>256</v>
      </c>
      <c r="AJ252" s="201"/>
      <c r="AK252" s="201"/>
      <c r="AL252" s="443"/>
      <c r="AM252" s="443"/>
      <c r="AN252" s="51" t="s">
        <v>1276</v>
      </c>
      <c r="AO252" s="51" t="s">
        <v>1260</v>
      </c>
      <c r="AP252" s="155" t="s">
        <v>1261</v>
      </c>
      <c r="AQ252" s="155" t="s">
        <v>37</v>
      </c>
      <c r="AR252" s="172">
        <v>44095</v>
      </c>
      <c r="AS252" s="155" t="s">
        <v>37</v>
      </c>
      <c r="AT252" s="362"/>
      <c r="AU252" s="1111"/>
    </row>
    <row r="253" spans="1:47" s="8" customFormat="1" ht="65.25" thickBot="1" x14ac:dyDescent="0.3">
      <c r="A253" s="1040" t="s">
        <v>4315</v>
      </c>
      <c r="B253" s="590" t="s">
        <v>4301</v>
      </c>
      <c r="C253" s="250">
        <v>583</v>
      </c>
      <c r="D253" s="590" t="s">
        <v>52</v>
      </c>
      <c r="E253" s="590" t="s">
        <v>53</v>
      </c>
      <c r="F253" s="455" t="s">
        <v>4316</v>
      </c>
      <c r="G253" s="455" t="s">
        <v>1973</v>
      </c>
      <c r="H253" s="455" t="s">
        <v>5310</v>
      </c>
      <c r="I253" s="627" t="s">
        <v>150</v>
      </c>
      <c r="J253" s="347">
        <v>1201</v>
      </c>
      <c r="K253" s="454" t="s">
        <v>5076</v>
      </c>
      <c r="L253" s="922">
        <v>1659007.3413</v>
      </c>
      <c r="M253" s="922">
        <v>5321141.4380999999</v>
      </c>
      <c r="N253" s="455"/>
      <c r="O253" s="455" t="s">
        <v>5077</v>
      </c>
      <c r="P253" s="455" t="s">
        <v>61</v>
      </c>
      <c r="Q253" s="455"/>
      <c r="R253" s="455"/>
      <c r="S253" s="455"/>
      <c r="T253" s="457" t="s">
        <v>5078</v>
      </c>
      <c r="U253" s="314" t="s">
        <v>16</v>
      </c>
      <c r="V253" s="293" t="s">
        <v>85</v>
      </c>
      <c r="W253" s="293" t="s">
        <v>16</v>
      </c>
      <c r="X253" s="293" t="s">
        <v>61</v>
      </c>
      <c r="Y253" s="293" t="s">
        <v>5079</v>
      </c>
      <c r="Z253" s="342" t="s">
        <v>5080</v>
      </c>
      <c r="AA253" s="293"/>
      <c r="AB253" s="293" t="s">
        <v>5081</v>
      </c>
      <c r="AC253" s="293"/>
      <c r="AD253" s="293"/>
      <c r="AE253" s="293"/>
      <c r="AF253" s="293"/>
      <c r="AG253" s="293"/>
      <c r="AH253" s="293"/>
      <c r="AI253" s="292" t="s">
        <v>5083</v>
      </c>
      <c r="AJ253" s="293"/>
      <c r="AK253" s="293"/>
      <c r="AL253" s="293"/>
      <c r="AM253" s="293"/>
      <c r="AN253" s="292" t="s">
        <v>5082</v>
      </c>
      <c r="AO253" s="374" t="s">
        <v>6794</v>
      </c>
      <c r="AP253" s="292" t="s">
        <v>877</v>
      </c>
      <c r="AQ253" s="292" t="s">
        <v>1380</v>
      </c>
      <c r="AR253" s="291">
        <v>44098</v>
      </c>
      <c r="AS253" s="292" t="s">
        <v>1380</v>
      </c>
      <c r="AT253" s="291">
        <v>44098</v>
      </c>
      <c r="AU253" s="290" t="s">
        <v>3565</v>
      </c>
    </row>
    <row r="254" spans="1:47" s="551" customFormat="1" ht="90.75" thickBot="1" x14ac:dyDescent="0.3">
      <c r="A254" s="807" t="s">
        <v>6278</v>
      </c>
      <c r="B254" s="349" t="s">
        <v>5890</v>
      </c>
      <c r="C254" s="157">
        <v>231</v>
      </c>
      <c r="D254" s="592" t="s">
        <v>57</v>
      </c>
      <c r="E254" s="592"/>
      <c r="F254" s="157" t="s">
        <v>4679</v>
      </c>
      <c r="G254" s="158" t="s">
        <v>1238</v>
      </c>
      <c r="H254" s="159" t="s">
        <v>6056</v>
      </c>
      <c r="I254" s="450" t="s">
        <v>6238</v>
      </c>
      <c r="J254" s="193">
        <v>879</v>
      </c>
      <c r="K254" s="433" t="s">
        <v>6280</v>
      </c>
      <c r="L254" s="924">
        <v>1892951.9528000001</v>
      </c>
      <c r="M254" s="924">
        <v>5711168.6295999996</v>
      </c>
      <c r="N254" s="159"/>
      <c r="O254" s="159">
        <v>0.03</v>
      </c>
      <c r="P254" s="159" t="s">
        <v>194</v>
      </c>
      <c r="Q254" s="159"/>
      <c r="R254" s="159"/>
      <c r="S254" s="159" t="s">
        <v>6222</v>
      </c>
      <c r="T254" s="480" t="s">
        <v>5842</v>
      </c>
      <c r="U254" s="169" t="s">
        <v>10</v>
      </c>
      <c r="V254" s="151" t="s">
        <v>16</v>
      </c>
      <c r="W254" s="151" t="s">
        <v>16</v>
      </c>
      <c r="X254" s="153" t="s">
        <v>194</v>
      </c>
      <c r="Y254" s="153" t="s">
        <v>6231</v>
      </c>
      <c r="Z254" s="152" t="s">
        <v>6181</v>
      </c>
      <c r="AA254" s="153">
        <v>1</v>
      </c>
      <c r="AB254" s="153" t="s">
        <v>6237</v>
      </c>
      <c r="AC254" s="151">
        <v>229</v>
      </c>
      <c r="AD254" s="151">
        <f t="shared" ref="AD254:AD269" si="4">229-10</f>
        <v>219</v>
      </c>
      <c r="AE254" s="151">
        <f t="shared" ref="AE254:AE269" si="5">229+10</f>
        <v>239</v>
      </c>
      <c r="AF254" s="151"/>
      <c r="AG254" s="151"/>
      <c r="AH254" s="151"/>
      <c r="AI254" s="203" t="s">
        <v>256</v>
      </c>
      <c r="AJ254" s="202"/>
      <c r="AK254" s="202"/>
      <c r="AL254" s="442"/>
      <c r="AM254" s="442"/>
      <c r="AN254" s="203" t="s">
        <v>6084</v>
      </c>
      <c r="AO254" s="203" t="s">
        <v>6285</v>
      </c>
      <c r="AP254" s="152" t="s">
        <v>6121</v>
      </c>
      <c r="AQ254" s="152" t="s">
        <v>37</v>
      </c>
      <c r="AR254" s="170">
        <v>44316</v>
      </c>
      <c r="AS254" s="152" t="s">
        <v>37</v>
      </c>
      <c r="AT254" s="361"/>
      <c r="AU254" s="1112"/>
    </row>
    <row r="255" spans="1:47" ht="39.75" thickBot="1" x14ac:dyDescent="0.3">
      <c r="A255" s="808"/>
      <c r="B255" s="550"/>
      <c r="C255" s="161"/>
      <c r="D255" s="573"/>
      <c r="E255" s="573"/>
      <c r="F255" s="161"/>
      <c r="G255" s="162"/>
      <c r="H255" s="163"/>
      <c r="I255" s="423"/>
      <c r="J255" s="194">
        <v>880</v>
      </c>
      <c r="K255" s="434" t="s">
        <v>6217</v>
      </c>
      <c r="L255" s="919">
        <v>1891435.0796999999</v>
      </c>
      <c r="M255" s="919">
        <v>5706796.5794000002</v>
      </c>
      <c r="N255" s="163"/>
      <c r="O255" s="163">
        <v>0.08</v>
      </c>
      <c r="P255" s="161" t="s">
        <v>194</v>
      </c>
      <c r="Q255" s="163"/>
      <c r="R255" s="163"/>
      <c r="S255" s="163" t="s">
        <v>6223</v>
      </c>
      <c r="T255" s="175" t="s">
        <v>5839</v>
      </c>
      <c r="U255" s="169" t="s">
        <v>10</v>
      </c>
      <c r="V255" s="151" t="s">
        <v>16</v>
      </c>
      <c r="W255" s="151" t="s">
        <v>16</v>
      </c>
      <c r="X255" s="153" t="s">
        <v>194</v>
      </c>
      <c r="Y255" s="153" t="s">
        <v>6232</v>
      </c>
      <c r="Z255" s="152" t="s">
        <v>6181</v>
      </c>
      <c r="AA255" s="153">
        <v>1</v>
      </c>
      <c r="AB255" s="153" t="s">
        <v>6237</v>
      </c>
      <c r="AC255" s="151">
        <v>229</v>
      </c>
      <c r="AD255" s="151">
        <f t="shared" si="4"/>
        <v>219</v>
      </c>
      <c r="AE255" s="151">
        <f t="shared" si="5"/>
        <v>239</v>
      </c>
      <c r="AF255" s="151"/>
      <c r="AG255" s="151"/>
      <c r="AH255" s="151"/>
      <c r="AI255" s="203" t="s">
        <v>256</v>
      </c>
      <c r="AJ255" s="202"/>
      <c r="AK255" s="202"/>
      <c r="AL255" s="442"/>
      <c r="AM255" s="442"/>
      <c r="AN255" s="203" t="s">
        <v>6084</v>
      </c>
      <c r="AO255" s="203" t="s">
        <v>6285</v>
      </c>
      <c r="AP255" s="152" t="s">
        <v>6121</v>
      </c>
      <c r="AQ255" s="152" t="s">
        <v>37</v>
      </c>
      <c r="AR255" s="170">
        <v>44316</v>
      </c>
      <c r="AS255" s="152" t="s">
        <v>37</v>
      </c>
      <c r="AT255" s="361"/>
      <c r="AU255" s="1112"/>
    </row>
    <row r="256" spans="1:47" ht="39.75" thickBot="1" x14ac:dyDescent="0.3">
      <c r="A256" s="808"/>
      <c r="B256" s="550"/>
      <c r="C256" s="161"/>
      <c r="D256" s="573"/>
      <c r="E256" s="573"/>
      <c r="F256" s="161"/>
      <c r="G256" s="162"/>
      <c r="H256" s="163"/>
      <c r="I256" s="423"/>
      <c r="J256" s="194">
        <v>881</v>
      </c>
      <c r="K256" s="434" t="s">
        <v>6218</v>
      </c>
      <c r="L256" s="919">
        <v>1887729.2498999999</v>
      </c>
      <c r="M256" s="919">
        <v>5705663.0137999998</v>
      </c>
      <c r="N256" s="163"/>
      <c r="O256" s="163">
        <v>0.08</v>
      </c>
      <c r="P256" s="161" t="s">
        <v>194</v>
      </c>
      <c r="Q256" s="163"/>
      <c r="R256" s="163"/>
      <c r="S256" s="163" t="s">
        <v>6224</v>
      </c>
      <c r="T256" s="175" t="s">
        <v>6228</v>
      </c>
      <c r="U256" s="169" t="s">
        <v>10</v>
      </c>
      <c r="V256" s="151" t="s">
        <v>16</v>
      </c>
      <c r="W256" s="151" t="s">
        <v>16</v>
      </c>
      <c r="X256" s="153" t="s">
        <v>194</v>
      </c>
      <c r="Y256" s="153" t="s">
        <v>6233</v>
      </c>
      <c r="Z256" s="152" t="s">
        <v>6181</v>
      </c>
      <c r="AA256" s="153">
        <v>1</v>
      </c>
      <c r="AB256" s="153" t="s">
        <v>6237</v>
      </c>
      <c r="AC256" s="151">
        <v>229</v>
      </c>
      <c r="AD256" s="151">
        <f t="shared" si="4"/>
        <v>219</v>
      </c>
      <c r="AE256" s="151">
        <f t="shared" si="5"/>
        <v>239</v>
      </c>
      <c r="AF256" s="151"/>
      <c r="AG256" s="151"/>
      <c r="AH256" s="151"/>
      <c r="AI256" s="203" t="s">
        <v>256</v>
      </c>
      <c r="AJ256" s="202"/>
      <c r="AK256" s="202"/>
      <c r="AL256" s="442"/>
      <c r="AM256" s="442"/>
      <c r="AN256" s="203" t="s">
        <v>6084</v>
      </c>
      <c r="AO256" s="203" t="s">
        <v>6285</v>
      </c>
      <c r="AP256" s="152" t="s">
        <v>6121</v>
      </c>
      <c r="AQ256" s="152" t="s">
        <v>37</v>
      </c>
      <c r="AR256" s="170">
        <v>44316</v>
      </c>
      <c r="AS256" s="152" t="s">
        <v>37</v>
      </c>
      <c r="AT256" s="361"/>
      <c r="AU256" s="1112"/>
    </row>
    <row r="257" spans="1:47" s="551" customFormat="1" ht="39.75" thickBot="1" x14ac:dyDescent="0.3">
      <c r="A257" s="808"/>
      <c r="B257" s="550"/>
      <c r="C257" s="161"/>
      <c r="D257" s="573"/>
      <c r="E257" s="573"/>
      <c r="F257" s="161"/>
      <c r="G257" s="162"/>
      <c r="H257" s="163"/>
      <c r="I257" s="423"/>
      <c r="J257" s="194">
        <v>947</v>
      </c>
      <c r="K257" s="434" t="s">
        <v>6219</v>
      </c>
      <c r="L257" s="919">
        <v>1892563.4896</v>
      </c>
      <c r="M257" s="919">
        <v>5706984.6116000004</v>
      </c>
      <c r="N257" s="163"/>
      <c r="O257" s="163">
        <v>7.0000000000000007E-2</v>
      </c>
      <c r="P257" s="161" t="s">
        <v>194</v>
      </c>
      <c r="Q257" s="163"/>
      <c r="R257" s="163"/>
      <c r="S257" s="163" t="s">
        <v>6225</v>
      </c>
      <c r="T257" s="175" t="s">
        <v>6229</v>
      </c>
      <c r="U257" s="169" t="s">
        <v>10</v>
      </c>
      <c r="V257" s="151" t="s">
        <v>16</v>
      </c>
      <c r="W257" s="151" t="s">
        <v>16</v>
      </c>
      <c r="X257" s="153" t="s">
        <v>194</v>
      </c>
      <c r="Y257" s="153" t="s">
        <v>6234</v>
      </c>
      <c r="Z257" s="152" t="s">
        <v>6181</v>
      </c>
      <c r="AA257" s="153">
        <v>1</v>
      </c>
      <c r="AB257" s="153" t="s">
        <v>6237</v>
      </c>
      <c r="AC257" s="151">
        <v>229</v>
      </c>
      <c r="AD257" s="151">
        <f t="shared" si="4"/>
        <v>219</v>
      </c>
      <c r="AE257" s="151">
        <f t="shared" si="5"/>
        <v>239</v>
      </c>
      <c r="AF257" s="151"/>
      <c r="AG257" s="151"/>
      <c r="AH257" s="151"/>
      <c r="AI257" s="203" t="s">
        <v>256</v>
      </c>
      <c r="AJ257" s="202"/>
      <c r="AK257" s="202"/>
      <c r="AL257" s="442"/>
      <c r="AM257" s="442"/>
      <c r="AN257" s="203" t="s">
        <v>6084</v>
      </c>
      <c r="AO257" s="203" t="s">
        <v>6285</v>
      </c>
      <c r="AP257" s="152" t="s">
        <v>6121</v>
      </c>
      <c r="AQ257" s="152" t="s">
        <v>37</v>
      </c>
      <c r="AR257" s="170">
        <v>44316</v>
      </c>
      <c r="AS257" s="152" t="s">
        <v>37</v>
      </c>
      <c r="AT257" s="361"/>
      <c r="AU257" s="1112"/>
    </row>
    <row r="258" spans="1:47" s="551" customFormat="1" ht="39.75" thickBot="1" x14ac:dyDescent="0.3">
      <c r="A258" s="808"/>
      <c r="B258" s="550"/>
      <c r="C258" s="161"/>
      <c r="D258" s="573"/>
      <c r="E258" s="573"/>
      <c r="F258" s="161"/>
      <c r="G258" s="162"/>
      <c r="H258" s="163"/>
      <c r="I258" s="423"/>
      <c r="J258" s="194">
        <v>948</v>
      </c>
      <c r="K258" s="434" t="s">
        <v>6220</v>
      </c>
      <c r="L258" s="919">
        <v>1893526.0655</v>
      </c>
      <c r="M258" s="919">
        <v>5707445.5255000005</v>
      </c>
      <c r="N258" s="163"/>
      <c r="O258" s="163">
        <v>0.1</v>
      </c>
      <c r="P258" s="163" t="s">
        <v>194</v>
      </c>
      <c r="Q258" s="163"/>
      <c r="R258" s="163"/>
      <c r="S258" s="163" t="s">
        <v>6226</v>
      </c>
      <c r="T258" s="175" t="s">
        <v>6202</v>
      </c>
      <c r="U258" s="169" t="s">
        <v>10</v>
      </c>
      <c r="V258" s="151" t="s">
        <v>16</v>
      </c>
      <c r="W258" s="151" t="s">
        <v>16</v>
      </c>
      <c r="X258" s="153" t="s">
        <v>194</v>
      </c>
      <c r="Y258" s="153" t="s">
        <v>6235</v>
      </c>
      <c r="Z258" s="152" t="s">
        <v>6181</v>
      </c>
      <c r="AA258" s="153">
        <v>1</v>
      </c>
      <c r="AB258" s="153" t="s">
        <v>6237</v>
      </c>
      <c r="AC258" s="151">
        <v>229</v>
      </c>
      <c r="AD258" s="151">
        <f t="shared" si="4"/>
        <v>219</v>
      </c>
      <c r="AE258" s="151">
        <f t="shared" si="5"/>
        <v>239</v>
      </c>
      <c r="AF258" s="151"/>
      <c r="AG258" s="151"/>
      <c r="AH258" s="151"/>
      <c r="AI258" s="203" t="s">
        <v>256</v>
      </c>
      <c r="AJ258" s="202"/>
      <c r="AK258" s="202"/>
      <c r="AL258" s="442"/>
      <c r="AM258" s="442"/>
      <c r="AN258" s="203" t="s">
        <v>6084</v>
      </c>
      <c r="AO258" s="203" t="s">
        <v>6285</v>
      </c>
      <c r="AP258" s="152" t="s">
        <v>6121</v>
      </c>
      <c r="AQ258" s="152" t="s">
        <v>37</v>
      </c>
      <c r="AR258" s="170">
        <v>44316</v>
      </c>
      <c r="AS258" s="152" t="s">
        <v>37</v>
      </c>
      <c r="AT258" s="361"/>
      <c r="AU258" s="1112"/>
    </row>
    <row r="259" spans="1:47" s="551" customFormat="1" ht="39.75" thickBot="1" x14ac:dyDescent="0.3">
      <c r="A259" s="809"/>
      <c r="B259" s="174"/>
      <c r="C259" s="165"/>
      <c r="D259" s="574"/>
      <c r="E259" s="574"/>
      <c r="F259" s="165"/>
      <c r="G259" s="166"/>
      <c r="H259" s="167"/>
      <c r="I259" s="424"/>
      <c r="J259" s="195">
        <v>949</v>
      </c>
      <c r="K259" s="435" t="s">
        <v>6221</v>
      </c>
      <c r="L259" s="925">
        <v>1886551.3213</v>
      </c>
      <c r="M259" s="925">
        <v>5704334.8202999998</v>
      </c>
      <c r="N259" s="167"/>
      <c r="O259" s="167">
        <v>0.05</v>
      </c>
      <c r="P259" s="167" t="s">
        <v>194</v>
      </c>
      <c r="Q259" s="167"/>
      <c r="R259" s="167"/>
      <c r="S259" s="167" t="s">
        <v>6227</v>
      </c>
      <c r="T259" s="200" t="s">
        <v>6230</v>
      </c>
      <c r="U259" s="169" t="s">
        <v>10</v>
      </c>
      <c r="V259" s="151" t="s">
        <v>16</v>
      </c>
      <c r="W259" s="151" t="s">
        <v>16</v>
      </c>
      <c r="X259" s="153" t="s">
        <v>194</v>
      </c>
      <c r="Y259" s="153" t="s">
        <v>6236</v>
      </c>
      <c r="Z259" s="152" t="s">
        <v>6181</v>
      </c>
      <c r="AA259" s="153">
        <v>1</v>
      </c>
      <c r="AB259" s="153" t="s">
        <v>6237</v>
      </c>
      <c r="AC259" s="151">
        <v>229</v>
      </c>
      <c r="AD259" s="151">
        <f t="shared" si="4"/>
        <v>219</v>
      </c>
      <c r="AE259" s="151">
        <f t="shared" si="5"/>
        <v>239</v>
      </c>
      <c r="AF259" s="151"/>
      <c r="AG259" s="151"/>
      <c r="AH259" s="151"/>
      <c r="AI259" s="203" t="s">
        <v>256</v>
      </c>
      <c r="AJ259" s="202"/>
      <c r="AK259" s="202"/>
      <c r="AL259" s="442"/>
      <c r="AM259" s="442"/>
      <c r="AN259" s="203" t="s">
        <v>6084</v>
      </c>
      <c r="AO259" s="203" t="s">
        <v>6285</v>
      </c>
      <c r="AP259" s="152" t="s">
        <v>6121</v>
      </c>
      <c r="AQ259" s="152" t="s">
        <v>37</v>
      </c>
      <c r="AR259" s="170">
        <v>44316</v>
      </c>
      <c r="AS259" s="152" t="s">
        <v>37</v>
      </c>
      <c r="AT259" s="361"/>
      <c r="AU259" s="1112"/>
    </row>
    <row r="260" spans="1:47" s="551" customFormat="1" ht="65.25" thickBot="1" x14ac:dyDescent="0.3">
      <c r="A260" s="341" t="s">
        <v>6278</v>
      </c>
      <c r="B260" s="181" t="s">
        <v>5891</v>
      </c>
      <c r="C260" s="125">
        <v>228</v>
      </c>
      <c r="D260" s="585" t="s">
        <v>57</v>
      </c>
      <c r="E260" s="585"/>
      <c r="F260" s="125" t="s">
        <v>4679</v>
      </c>
      <c r="G260" s="145" t="s">
        <v>1238</v>
      </c>
      <c r="H260" s="126" t="s">
        <v>5893</v>
      </c>
      <c r="I260" s="247" t="s">
        <v>6254</v>
      </c>
      <c r="J260" s="189">
        <v>950</v>
      </c>
      <c r="K260" s="355" t="s">
        <v>6239</v>
      </c>
      <c r="L260" s="911">
        <v>1895793.2657000001</v>
      </c>
      <c r="M260" s="911">
        <v>5721612.1370999999</v>
      </c>
      <c r="N260" s="126"/>
      <c r="O260" s="126">
        <v>0.02</v>
      </c>
      <c r="P260" s="126" t="s">
        <v>194</v>
      </c>
      <c r="Q260" s="126"/>
      <c r="R260" s="126"/>
      <c r="S260" s="126" t="s">
        <v>6243</v>
      </c>
      <c r="T260" s="344" t="s">
        <v>6247</v>
      </c>
      <c r="U260" s="151" t="s">
        <v>10</v>
      </c>
      <c r="V260" s="151" t="s">
        <v>16</v>
      </c>
      <c r="W260" s="151" t="s">
        <v>16</v>
      </c>
      <c r="X260" s="153" t="s">
        <v>194</v>
      </c>
      <c r="Y260" s="153" t="s">
        <v>6250</v>
      </c>
      <c r="Z260" s="152" t="s">
        <v>6181</v>
      </c>
      <c r="AA260" s="153">
        <v>1</v>
      </c>
      <c r="AB260" s="153" t="s">
        <v>6237</v>
      </c>
      <c r="AC260" s="151">
        <v>229</v>
      </c>
      <c r="AD260" s="151">
        <f t="shared" si="4"/>
        <v>219</v>
      </c>
      <c r="AE260" s="151">
        <f t="shared" si="5"/>
        <v>239</v>
      </c>
      <c r="AF260" s="151"/>
      <c r="AG260" s="151"/>
      <c r="AH260" s="151"/>
      <c r="AI260" s="203" t="s">
        <v>256</v>
      </c>
      <c r="AJ260" s="202"/>
      <c r="AK260" s="202"/>
      <c r="AL260" s="442"/>
      <c r="AM260" s="442"/>
      <c r="AN260" s="203" t="s">
        <v>6084</v>
      </c>
      <c r="AO260" s="203" t="s">
        <v>6285</v>
      </c>
      <c r="AP260" s="152" t="s">
        <v>6121</v>
      </c>
      <c r="AQ260" s="152" t="s">
        <v>37</v>
      </c>
      <c r="AR260" s="170">
        <v>44316</v>
      </c>
      <c r="AS260" s="152" t="s">
        <v>37</v>
      </c>
      <c r="AT260" s="361"/>
      <c r="AU260" s="1112"/>
    </row>
    <row r="261" spans="1:47" ht="39.75" thickBot="1" x14ac:dyDescent="0.3">
      <c r="A261" s="339"/>
      <c r="B261" s="116"/>
      <c r="C261" s="95"/>
      <c r="D261" s="567"/>
      <c r="E261" s="567"/>
      <c r="F261" s="95"/>
      <c r="G261" s="146"/>
      <c r="H261" s="108"/>
      <c r="I261" s="122"/>
      <c r="J261" s="191">
        <v>951</v>
      </c>
      <c r="K261" s="359" t="s">
        <v>6240</v>
      </c>
      <c r="L261" s="913">
        <v>1897568.5219000001</v>
      </c>
      <c r="M261" s="913">
        <v>5721588.6129000001</v>
      </c>
      <c r="N261" s="108"/>
      <c r="O261" s="108">
        <v>7.0000000000000007E-2</v>
      </c>
      <c r="P261" s="95" t="s">
        <v>194</v>
      </c>
      <c r="Q261" s="108"/>
      <c r="R261" s="108"/>
      <c r="S261" s="108" t="s">
        <v>6244</v>
      </c>
      <c r="T261" s="184" t="s">
        <v>6230</v>
      </c>
      <c r="U261" s="151" t="s">
        <v>10</v>
      </c>
      <c r="V261" s="151" t="s">
        <v>16</v>
      </c>
      <c r="W261" s="151" t="s">
        <v>16</v>
      </c>
      <c r="X261" s="153" t="s">
        <v>194</v>
      </c>
      <c r="Y261" s="153" t="s">
        <v>6251</v>
      </c>
      <c r="Z261" s="152" t="s">
        <v>6181</v>
      </c>
      <c r="AA261" s="153">
        <v>1</v>
      </c>
      <c r="AB261" s="153" t="s">
        <v>6237</v>
      </c>
      <c r="AC261" s="151">
        <v>229</v>
      </c>
      <c r="AD261" s="151">
        <f t="shared" si="4"/>
        <v>219</v>
      </c>
      <c r="AE261" s="151">
        <f t="shared" si="5"/>
        <v>239</v>
      </c>
      <c r="AF261" s="151"/>
      <c r="AG261" s="151"/>
      <c r="AH261" s="151"/>
      <c r="AI261" s="203" t="s">
        <v>256</v>
      </c>
      <c r="AJ261" s="202"/>
      <c r="AK261" s="202"/>
      <c r="AL261" s="442"/>
      <c r="AM261" s="442"/>
      <c r="AN261" s="203" t="s">
        <v>6084</v>
      </c>
      <c r="AO261" s="203" t="s">
        <v>6285</v>
      </c>
      <c r="AP261" s="152" t="s">
        <v>6121</v>
      </c>
      <c r="AQ261" s="152" t="s">
        <v>37</v>
      </c>
      <c r="AR261" s="170">
        <v>44316</v>
      </c>
      <c r="AS261" s="152" t="s">
        <v>37</v>
      </c>
      <c r="AT261" s="361"/>
      <c r="AU261" s="1112"/>
    </row>
    <row r="262" spans="1:47" s="551" customFormat="1" ht="39.75" thickBot="1" x14ac:dyDescent="0.3">
      <c r="A262" s="339"/>
      <c r="B262" s="116"/>
      <c r="C262" s="95"/>
      <c r="D262" s="567"/>
      <c r="E262" s="567"/>
      <c r="F262" s="95"/>
      <c r="G262" s="146"/>
      <c r="H262" s="108"/>
      <c r="I262" s="122"/>
      <c r="J262" s="191">
        <v>952</v>
      </c>
      <c r="K262" s="359" t="s">
        <v>6241</v>
      </c>
      <c r="L262" s="913">
        <v>1897242.9567</v>
      </c>
      <c r="M262" s="913">
        <v>5720305.0181</v>
      </c>
      <c r="N262" s="108"/>
      <c r="O262" s="108">
        <v>0.02</v>
      </c>
      <c r="P262" s="108" t="s">
        <v>194</v>
      </c>
      <c r="Q262" s="108"/>
      <c r="R262" s="108"/>
      <c r="S262" s="108" t="s">
        <v>6245</v>
      </c>
      <c r="T262" s="184" t="s">
        <v>6248</v>
      </c>
      <c r="U262" s="151" t="s">
        <v>10</v>
      </c>
      <c r="V262" s="151" t="s">
        <v>16</v>
      </c>
      <c r="W262" s="151" t="s">
        <v>16</v>
      </c>
      <c r="X262" s="153" t="s">
        <v>194</v>
      </c>
      <c r="Y262" s="153" t="s">
        <v>6252</v>
      </c>
      <c r="Z262" s="152" t="s">
        <v>6181</v>
      </c>
      <c r="AA262" s="153">
        <v>1</v>
      </c>
      <c r="AB262" s="153" t="s">
        <v>6237</v>
      </c>
      <c r="AC262" s="151">
        <v>229</v>
      </c>
      <c r="AD262" s="151">
        <f t="shared" si="4"/>
        <v>219</v>
      </c>
      <c r="AE262" s="151">
        <f t="shared" si="5"/>
        <v>239</v>
      </c>
      <c r="AF262" s="151"/>
      <c r="AG262" s="151"/>
      <c r="AH262" s="151"/>
      <c r="AI262" s="203" t="s">
        <v>256</v>
      </c>
      <c r="AJ262" s="202"/>
      <c r="AK262" s="202"/>
      <c r="AL262" s="442"/>
      <c r="AM262" s="442"/>
      <c r="AN262" s="203" t="s">
        <v>6084</v>
      </c>
      <c r="AO262" s="203" t="s">
        <v>6285</v>
      </c>
      <c r="AP262" s="152" t="s">
        <v>6121</v>
      </c>
      <c r="AQ262" s="152" t="s">
        <v>37</v>
      </c>
      <c r="AR262" s="170">
        <v>44316</v>
      </c>
      <c r="AS262" s="152" t="s">
        <v>37</v>
      </c>
      <c r="AT262" s="361"/>
      <c r="AU262" s="1112"/>
    </row>
    <row r="263" spans="1:47" s="551" customFormat="1" ht="52.5" thickBot="1" x14ac:dyDescent="0.3">
      <c r="A263" s="339"/>
      <c r="B263" s="116"/>
      <c r="C263" s="95"/>
      <c r="D263" s="567"/>
      <c r="E263" s="567"/>
      <c r="F263" s="95"/>
      <c r="G263" s="146"/>
      <c r="H263" s="108"/>
      <c r="I263" s="122"/>
      <c r="J263" s="191">
        <v>953</v>
      </c>
      <c r="K263" s="359" t="s">
        <v>6216</v>
      </c>
      <c r="L263" s="913">
        <v>1897855.7472000001</v>
      </c>
      <c r="M263" s="913">
        <v>5720186.3595000003</v>
      </c>
      <c r="N263" s="108"/>
      <c r="O263" s="108">
        <v>0.03</v>
      </c>
      <c r="P263" s="108" t="s">
        <v>194</v>
      </c>
      <c r="Q263" s="108"/>
      <c r="R263" s="108"/>
      <c r="S263" s="108" t="s">
        <v>6246</v>
      </c>
      <c r="T263" s="184" t="s">
        <v>6249</v>
      </c>
      <c r="U263" s="151" t="s">
        <v>10</v>
      </c>
      <c r="V263" s="151" t="s">
        <v>16</v>
      </c>
      <c r="W263" s="151" t="s">
        <v>16</v>
      </c>
      <c r="X263" s="153" t="s">
        <v>194</v>
      </c>
      <c r="Y263" s="153" t="s">
        <v>6231</v>
      </c>
      <c r="Z263" s="152" t="s">
        <v>6181</v>
      </c>
      <c r="AA263" s="153">
        <v>1</v>
      </c>
      <c r="AB263" s="153" t="s">
        <v>6237</v>
      </c>
      <c r="AC263" s="151">
        <v>229</v>
      </c>
      <c r="AD263" s="151">
        <f t="shared" si="4"/>
        <v>219</v>
      </c>
      <c r="AE263" s="151">
        <f t="shared" si="5"/>
        <v>239</v>
      </c>
      <c r="AF263" s="151"/>
      <c r="AG263" s="151"/>
      <c r="AH263" s="151"/>
      <c r="AI263" s="203" t="s">
        <v>256</v>
      </c>
      <c r="AJ263" s="202"/>
      <c r="AK263" s="202"/>
      <c r="AL263" s="442"/>
      <c r="AM263" s="442"/>
      <c r="AN263" s="203" t="s">
        <v>6277</v>
      </c>
      <c r="AO263" s="203" t="s">
        <v>6285</v>
      </c>
      <c r="AP263" s="152" t="s">
        <v>6121</v>
      </c>
      <c r="AQ263" s="152" t="s">
        <v>37</v>
      </c>
      <c r="AR263" s="170">
        <v>44316</v>
      </c>
      <c r="AS263" s="152" t="s">
        <v>37</v>
      </c>
      <c r="AT263" s="361"/>
      <c r="AU263" s="1112"/>
    </row>
    <row r="264" spans="1:47" s="551" customFormat="1" ht="39.75" thickBot="1" x14ac:dyDescent="0.3">
      <c r="A264" s="336"/>
      <c r="B264" s="196"/>
      <c r="C264" s="96"/>
      <c r="D264" s="566"/>
      <c r="E264" s="566"/>
      <c r="F264" s="96"/>
      <c r="G264" s="147"/>
      <c r="H264" s="107"/>
      <c r="I264" s="123"/>
      <c r="J264" s="190">
        <v>954</v>
      </c>
      <c r="K264" s="357" t="s">
        <v>6242</v>
      </c>
      <c r="L264" s="912">
        <v>1899225.7122</v>
      </c>
      <c r="M264" s="912">
        <v>5719323.1321</v>
      </c>
      <c r="N264" s="107"/>
      <c r="O264" s="107">
        <v>0.03</v>
      </c>
      <c r="P264" s="107" t="s">
        <v>194</v>
      </c>
      <c r="Q264" s="107"/>
      <c r="R264" s="107"/>
      <c r="S264" s="107" t="s">
        <v>6246</v>
      </c>
      <c r="T264" s="127" t="s">
        <v>6249</v>
      </c>
      <c r="U264" s="204" t="s">
        <v>10</v>
      </c>
      <c r="V264" s="204" t="s">
        <v>16</v>
      </c>
      <c r="W264" s="204" t="s">
        <v>16</v>
      </c>
      <c r="X264" s="176" t="s">
        <v>194</v>
      </c>
      <c r="Y264" s="176" t="s">
        <v>6253</v>
      </c>
      <c r="Z264" s="208" t="s">
        <v>6181</v>
      </c>
      <c r="AA264" s="176">
        <v>1</v>
      </c>
      <c r="AB264" s="153" t="s">
        <v>6237</v>
      </c>
      <c r="AC264" s="204">
        <v>229</v>
      </c>
      <c r="AD264" s="204">
        <f t="shared" si="4"/>
        <v>219</v>
      </c>
      <c r="AE264" s="204">
        <f t="shared" si="5"/>
        <v>239</v>
      </c>
      <c r="AF264" s="204"/>
      <c r="AG264" s="204"/>
      <c r="AH264" s="204"/>
      <c r="AI264" s="207" t="s">
        <v>256</v>
      </c>
      <c r="AJ264" s="205"/>
      <c r="AK264" s="205"/>
      <c r="AL264" s="353"/>
      <c r="AM264" s="353"/>
      <c r="AN264" s="207" t="s">
        <v>6084</v>
      </c>
      <c r="AO264" s="203" t="s">
        <v>6285</v>
      </c>
      <c r="AP264" s="208" t="s">
        <v>6121</v>
      </c>
      <c r="AQ264" s="208" t="s">
        <v>37</v>
      </c>
      <c r="AR264" s="209">
        <v>44316</v>
      </c>
      <c r="AS264" s="208" t="s">
        <v>37</v>
      </c>
      <c r="AT264" s="364"/>
      <c r="AU264" s="1109"/>
    </row>
    <row r="265" spans="1:47" s="551" customFormat="1" ht="65.25" thickBot="1" x14ac:dyDescent="0.3">
      <c r="A265" s="807" t="s">
        <v>6278</v>
      </c>
      <c r="B265" s="349" t="s">
        <v>5892</v>
      </c>
      <c r="C265" s="157">
        <v>221</v>
      </c>
      <c r="D265" s="592" t="s">
        <v>57</v>
      </c>
      <c r="E265" s="592"/>
      <c r="F265" s="157" t="s">
        <v>4679</v>
      </c>
      <c r="G265" s="158" t="s">
        <v>1238</v>
      </c>
      <c r="H265" s="159" t="s">
        <v>5894</v>
      </c>
      <c r="I265" s="450" t="s">
        <v>6254</v>
      </c>
      <c r="J265" s="193">
        <v>955</v>
      </c>
      <c r="K265" s="433" t="s">
        <v>6255</v>
      </c>
      <c r="L265" s="924">
        <v>1906252.2065999999</v>
      </c>
      <c r="M265" s="924">
        <v>5734437.6403999999</v>
      </c>
      <c r="N265" s="159"/>
      <c r="O265" s="159">
        <v>3.0000000000000001E-3</v>
      </c>
      <c r="P265" s="159" t="s">
        <v>194</v>
      </c>
      <c r="Q265" s="159"/>
      <c r="R265" s="159"/>
      <c r="S265" s="159" t="s">
        <v>6260</v>
      </c>
      <c r="T265" s="480" t="s">
        <v>6265</v>
      </c>
      <c r="U265" s="169" t="s">
        <v>10</v>
      </c>
      <c r="V265" s="151" t="s">
        <v>16</v>
      </c>
      <c r="W265" s="151" t="s">
        <v>16</v>
      </c>
      <c r="X265" s="153" t="s">
        <v>194</v>
      </c>
      <c r="Y265" s="153" t="s">
        <v>6268</v>
      </c>
      <c r="Z265" s="152" t="s">
        <v>6181</v>
      </c>
      <c r="AA265" s="153">
        <v>1</v>
      </c>
      <c r="AB265" s="153" t="s">
        <v>6237</v>
      </c>
      <c r="AC265" s="151">
        <v>229</v>
      </c>
      <c r="AD265" s="151">
        <f t="shared" si="4"/>
        <v>219</v>
      </c>
      <c r="AE265" s="151">
        <f t="shared" si="5"/>
        <v>239</v>
      </c>
      <c r="AF265" s="151"/>
      <c r="AG265" s="151"/>
      <c r="AH265" s="151"/>
      <c r="AI265" s="203" t="s">
        <v>256</v>
      </c>
      <c r="AJ265" s="202"/>
      <c r="AK265" s="202"/>
      <c r="AL265" s="442"/>
      <c r="AM265" s="442"/>
      <c r="AN265" s="203" t="s">
        <v>6084</v>
      </c>
      <c r="AO265" s="203" t="s">
        <v>6285</v>
      </c>
      <c r="AP265" s="152" t="s">
        <v>6121</v>
      </c>
      <c r="AQ265" s="152" t="s">
        <v>37</v>
      </c>
      <c r="AR265" s="170">
        <v>44316</v>
      </c>
      <c r="AS265" s="152" t="s">
        <v>37</v>
      </c>
      <c r="AT265" s="361"/>
      <c r="AU265" s="1112"/>
    </row>
    <row r="266" spans="1:47" s="551" customFormat="1" ht="39.75" thickBot="1" x14ac:dyDescent="0.3">
      <c r="A266" s="808"/>
      <c r="B266" s="550"/>
      <c r="C266" s="161"/>
      <c r="D266" s="573"/>
      <c r="E266" s="573"/>
      <c r="F266" s="161"/>
      <c r="G266" s="162"/>
      <c r="H266" s="163"/>
      <c r="I266" s="423"/>
      <c r="J266" s="194">
        <v>956</v>
      </c>
      <c r="K266" s="434" t="s">
        <v>6256</v>
      </c>
      <c r="L266" s="919">
        <v>1904261.2363</v>
      </c>
      <c r="M266" s="919">
        <v>5730900.2909000004</v>
      </c>
      <c r="N266" s="163"/>
      <c r="O266" s="163">
        <v>0.09</v>
      </c>
      <c r="P266" s="163" t="s">
        <v>194</v>
      </c>
      <c r="Q266" s="163"/>
      <c r="R266" s="163"/>
      <c r="S266" s="163" t="s">
        <v>6261</v>
      </c>
      <c r="T266" s="175" t="s">
        <v>5839</v>
      </c>
      <c r="U266" s="169" t="s">
        <v>10</v>
      </c>
      <c r="V266" s="151" t="s">
        <v>16</v>
      </c>
      <c r="W266" s="151" t="s">
        <v>16</v>
      </c>
      <c r="X266" s="153" t="s">
        <v>194</v>
      </c>
      <c r="Y266" s="153" t="s">
        <v>6269</v>
      </c>
      <c r="Z266" s="152" t="s">
        <v>6181</v>
      </c>
      <c r="AA266" s="153">
        <v>1</v>
      </c>
      <c r="AB266" s="153" t="s">
        <v>6237</v>
      </c>
      <c r="AC266" s="151">
        <v>229</v>
      </c>
      <c r="AD266" s="151">
        <f t="shared" si="4"/>
        <v>219</v>
      </c>
      <c r="AE266" s="151">
        <f t="shared" si="5"/>
        <v>239</v>
      </c>
      <c r="AF266" s="151"/>
      <c r="AG266" s="151"/>
      <c r="AH266" s="151"/>
      <c r="AI266" s="203" t="s">
        <v>256</v>
      </c>
      <c r="AJ266" s="202"/>
      <c r="AK266" s="202"/>
      <c r="AL266" s="442"/>
      <c r="AM266" s="442"/>
      <c r="AN266" s="203" t="s">
        <v>6084</v>
      </c>
      <c r="AO266" s="203" t="s">
        <v>6285</v>
      </c>
      <c r="AP266" s="152" t="s">
        <v>6121</v>
      </c>
      <c r="AQ266" s="152" t="s">
        <v>37</v>
      </c>
      <c r="AR266" s="170">
        <v>44316</v>
      </c>
      <c r="AS266" s="152" t="s">
        <v>37</v>
      </c>
      <c r="AT266" s="361"/>
      <c r="AU266" s="1112"/>
    </row>
    <row r="267" spans="1:47" s="551" customFormat="1" ht="39.75" thickBot="1" x14ac:dyDescent="0.3">
      <c r="A267" s="808"/>
      <c r="B267" s="550"/>
      <c r="C267" s="161"/>
      <c r="D267" s="573"/>
      <c r="E267" s="573"/>
      <c r="F267" s="161"/>
      <c r="G267" s="162"/>
      <c r="H267" s="163"/>
      <c r="I267" s="423"/>
      <c r="J267" s="194">
        <v>957</v>
      </c>
      <c r="K267" s="434" t="s">
        <v>6257</v>
      </c>
      <c r="L267" s="919">
        <v>1904412.8273</v>
      </c>
      <c r="M267" s="919">
        <v>5730613.7719999999</v>
      </c>
      <c r="N267" s="163"/>
      <c r="O267" s="163">
        <v>0.01</v>
      </c>
      <c r="P267" s="163" t="s">
        <v>194</v>
      </c>
      <c r="Q267" s="163"/>
      <c r="R267" s="163"/>
      <c r="S267" s="163" t="s">
        <v>6262</v>
      </c>
      <c r="T267" s="175" t="s">
        <v>6266</v>
      </c>
      <c r="U267" s="169" t="s">
        <v>10</v>
      </c>
      <c r="V267" s="151" t="s">
        <v>16</v>
      </c>
      <c r="W267" s="151" t="s">
        <v>16</v>
      </c>
      <c r="X267" s="153" t="s">
        <v>194</v>
      </c>
      <c r="Y267" s="153" t="s">
        <v>6270</v>
      </c>
      <c r="Z267" s="152" t="s">
        <v>6181</v>
      </c>
      <c r="AA267" s="153">
        <v>1</v>
      </c>
      <c r="AB267" s="153" t="s">
        <v>6237</v>
      </c>
      <c r="AC267" s="151">
        <v>229</v>
      </c>
      <c r="AD267" s="151">
        <f t="shared" si="4"/>
        <v>219</v>
      </c>
      <c r="AE267" s="151">
        <f t="shared" si="5"/>
        <v>239</v>
      </c>
      <c r="AF267" s="151"/>
      <c r="AG267" s="151"/>
      <c r="AH267" s="151"/>
      <c r="AI267" s="203" t="s">
        <v>256</v>
      </c>
      <c r="AJ267" s="202"/>
      <c r="AK267" s="202"/>
      <c r="AL267" s="442"/>
      <c r="AM267" s="442"/>
      <c r="AN267" s="203" t="s">
        <v>6084</v>
      </c>
      <c r="AO267" s="203" t="s">
        <v>6285</v>
      </c>
      <c r="AP267" s="152" t="s">
        <v>6121</v>
      </c>
      <c r="AQ267" s="152" t="s">
        <v>37</v>
      </c>
      <c r="AR267" s="170">
        <v>44316</v>
      </c>
      <c r="AS267" s="152" t="s">
        <v>37</v>
      </c>
      <c r="AT267" s="361"/>
      <c r="AU267" s="1112"/>
    </row>
    <row r="268" spans="1:47" s="211" customFormat="1" ht="39.75" thickBot="1" x14ac:dyDescent="0.3">
      <c r="A268" s="808"/>
      <c r="B268" s="550"/>
      <c r="C268" s="161"/>
      <c r="D268" s="573"/>
      <c r="E268" s="573"/>
      <c r="F268" s="161"/>
      <c r="G268" s="162"/>
      <c r="H268" s="163"/>
      <c r="I268" s="423"/>
      <c r="J268" s="194">
        <v>958</v>
      </c>
      <c r="K268" s="434" t="s">
        <v>6258</v>
      </c>
      <c r="L268" s="919">
        <v>1905178.1936000001</v>
      </c>
      <c r="M268" s="919">
        <v>5731011.9095000001</v>
      </c>
      <c r="N268" s="163"/>
      <c r="O268" s="163">
        <v>0.04</v>
      </c>
      <c r="P268" s="163" t="s">
        <v>194</v>
      </c>
      <c r="Q268" s="163"/>
      <c r="R268" s="163"/>
      <c r="S268" s="163" t="s">
        <v>6263</v>
      </c>
      <c r="T268" s="175" t="s">
        <v>6267</v>
      </c>
      <c r="U268" s="169" t="s">
        <v>10</v>
      </c>
      <c r="V268" s="151" t="s">
        <v>16</v>
      </c>
      <c r="W268" s="151" t="s">
        <v>16</v>
      </c>
      <c r="X268" s="153" t="s">
        <v>194</v>
      </c>
      <c r="Y268" s="153" t="s">
        <v>6271</v>
      </c>
      <c r="Z268" s="152" t="s">
        <v>6181</v>
      </c>
      <c r="AA268" s="153">
        <v>1</v>
      </c>
      <c r="AB268" s="153" t="s">
        <v>6237</v>
      </c>
      <c r="AC268" s="151">
        <v>229</v>
      </c>
      <c r="AD268" s="151">
        <f t="shared" si="4"/>
        <v>219</v>
      </c>
      <c r="AE268" s="151">
        <f t="shared" si="5"/>
        <v>239</v>
      </c>
      <c r="AF268" s="151"/>
      <c r="AG268" s="151"/>
      <c r="AH268" s="151"/>
      <c r="AI268" s="203" t="s">
        <v>256</v>
      </c>
      <c r="AJ268" s="202"/>
      <c r="AK268" s="202"/>
      <c r="AL268" s="442"/>
      <c r="AM268" s="442"/>
      <c r="AN268" s="203" t="s">
        <v>6084</v>
      </c>
      <c r="AO268" s="203" t="s">
        <v>6285</v>
      </c>
      <c r="AP268" s="152" t="s">
        <v>6121</v>
      </c>
      <c r="AQ268" s="152" t="s">
        <v>37</v>
      </c>
      <c r="AR268" s="170">
        <v>44316</v>
      </c>
      <c r="AS268" s="152" t="s">
        <v>37</v>
      </c>
      <c r="AT268" s="361"/>
      <c r="AU268" s="1112"/>
    </row>
    <row r="269" spans="1:47" s="135" customFormat="1" ht="39.75" thickBot="1" x14ac:dyDescent="0.3">
      <c r="A269" s="809"/>
      <c r="B269" s="174"/>
      <c r="C269" s="165"/>
      <c r="D269" s="574"/>
      <c r="E269" s="574"/>
      <c r="F269" s="165"/>
      <c r="G269" s="166"/>
      <c r="H269" s="167"/>
      <c r="I269" s="424"/>
      <c r="J269" s="195">
        <v>959</v>
      </c>
      <c r="K269" s="435" t="s">
        <v>6259</v>
      </c>
      <c r="L269" s="925">
        <v>1905262.2368999999</v>
      </c>
      <c r="M269" s="925">
        <v>5730785.9140999997</v>
      </c>
      <c r="N269" s="167"/>
      <c r="O269" s="167">
        <v>0.02</v>
      </c>
      <c r="P269" s="167" t="s">
        <v>194</v>
      </c>
      <c r="Q269" s="167"/>
      <c r="R269" s="167"/>
      <c r="S269" s="167" t="s">
        <v>6264</v>
      </c>
      <c r="T269" s="200" t="s">
        <v>5842</v>
      </c>
      <c r="U269" s="206" t="s">
        <v>10</v>
      </c>
      <c r="V269" s="204" t="s">
        <v>16</v>
      </c>
      <c r="W269" s="204" t="s">
        <v>16</v>
      </c>
      <c r="X269" s="176" t="s">
        <v>194</v>
      </c>
      <c r="Y269" s="176" t="s">
        <v>6272</v>
      </c>
      <c r="Z269" s="208" t="s">
        <v>6181</v>
      </c>
      <c r="AA269" s="176">
        <v>1</v>
      </c>
      <c r="AB269" s="153" t="s">
        <v>6237</v>
      </c>
      <c r="AC269" s="204">
        <v>229</v>
      </c>
      <c r="AD269" s="204">
        <f t="shared" si="4"/>
        <v>219</v>
      </c>
      <c r="AE269" s="204">
        <f t="shared" si="5"/>
        <v>239</v>
      </c>
      <c r="AF269" s="204"/>
      <c r="AG269" s="204"/>
      <c r="AH269" s="204"/>
      <c r="AI269" s="207" t="s">
        <v>256</v>
      </c>
      <c r="AJ269" s="205"/>
      <c r="AK269" s="205"/>
      <c r="AL269" s="353"/>
      <c r="AM269" s="353"/>
      <c r="AN269" s="207" t="s">
        <v>6084</v>
      </c>
      <c r="AO269" s="203" t="s">
        <v>6285</v>
      </c>
      <c r="AP269" s="208" t="s">
        <v>6121</v>
      </c>
      <c r="AQ269" s="208" t="s">
        <v>37</v>
      </c>
      <c r="AR269" s="209">
        <v>44316</v>
      </c>
      <c r="AS269" s="208" t="s">
        <v>37</v>
      </c>
      <c r="AT269" s="364"/>
      <c r="AU269" s="1109"/>
    </row>
    <row r="270" spans="1:47" s="135" customFormat="1" ht="65.25" thickBot="1" x14ac:dyDescent="0.3">
      <c r="A270" s="341" t="s">
        <v>966</v>
      </c>
      <c r="B270" s="181" t="s">
        <v>967</v>
      </c>
      <c r="C270" s="125">
        <v>386</v>
      </c>
      <c r="D270" s="585" t="s">
        <v>52</v>
      </c>
      <c r="E270" s="585"/>
      <c r="F270" s="125" t="s">
        <v>906</v>
      </c>
      <c r="G270" s="145" t="s">
        <v>1263</v>
      </c>
      <c r="H270" s="126" t="s">
        <v>5034</v>
      </c>
      <c r="I270" s="247" t="s">
        <v>150</v>
      </c>
      <c r="J270" s="89">
        <v>166</v>
      </c>
      <c r="K270" s="396" t="s">
        <v>968</v>
      </c>
      <c r="L270" s="265">
        <v>1929263.6287</v>
      </c>
      <c r="M270" s="265">
        <v>5554464.6787999999</v>
      </c>
      <c r="N270" s="109"/>
      <c r="O270" s="109" t="s">
        <v>969</v>
      </c>
      <c r="P270" s="109" t="s">
        <v>194</v>
      </c>
      <c r="Q270" s="109"/>
      <c r="R270" s="109"/>
      <c r="S270" s="109"/>
      <c r="T270" s="343" t="s">
        <v>970</v>
      </c>
      <c r="U270" s="206" t="s">
        <v>16</v>
      </c>
      <c r="V270" s="204" t="s">
        <v>16</v>
      </c>
      <c r="W270" s="204" t="s">
        <v>16</v>
      </c>
      <c r="X270" s="176" t="s">
        <v>194</v>
      </c>
      <c r="Y270" s="204" t="s">
        <v>971</v>
      </c>
      <c r="Z270" s="208" t="s">
        <v>933</v>
      </c>
      <c r="AA270" s="176">
        <v>1</v>
      </c>
      <c r="AB270" s="176" t="s">
        <v>972</v>
      </c>
      <c r="AC270" s="204">
        <v>7.8120000000000003</v>
      </c>
      <c r="AD270" s="204">
        <v>7.6689999999999996</v>
      </c>
      <c r="AE270" s="204">
        <v>7.9550000000000001</v>
      </c>
      <c r="AF270" s="204"/>
      <c r="AG270" s="204"/>
      <c r="AH270" s="204"/>
      <c r="AI270" s="207" t="s">
        <v>549</v>
      </c>
      <c r="AJ270" s="205"/>
      <c r="AK270" s="205"/>
      <c r="AL270" s="353"/>
      <c r="AM270" s="353"/>
      <c r="AN270" s="207" t="s">
        <v>973</v>
      </c>
      <c r="AO270" s="207" t="s">
        <v>974</v>
      </c>
      <c r="AP270" s="208" t="s">
        <v>6968</v>
      </c>
      <c r="AQ270" s="208" t="s">
        <v>37</v>
      </c>
      <c r="AR270" s="209">
        <v>44077</v>
      </c>
      <c r="AS270" s="208" t="s">
        <v>37</v>
      </c>
      <c r="AT270" s="364"/>
      <c r="AU270" s="1109"/>
    </row>
    <row r="271" spans="1:47" s="135" customFormat="1" ht="65.25" thickBot="1" x14ac:dyDescent="0.3">
      <c r="A271" s="336"/>
      <c r="B271" s="196"/>
      <c r="C271" s="96"/>
      <c r="D271" s="566"/>
      <c r="E271" s="566"/>
      <c r="F271" s="96"/>
      <c r="G271" s="147"/>
      <c r="H271" s="107"/>
      <c r="I271" s="123"/>
      <c r="J271" s="190">
        <v>167</v>
      </c>
      <c r="K271" s="357" t="s">
        <v>975</v>
      </c>
      <c r="L271" s="912">
        <v>1926640.1346</v>
      </c>
      <c r="M271" s="912">
        <v>5549386.3442000002</v>
      </c>
      <c r="N271" s="107"/>
      <c r="O271" s="107" t="s">
        <v>976</v>
      </c>
      <c r="P271" s="107" t="s">
        <v>194</v>
      </c>
      <c r="Q271" s="107"/>
      <c r="R271" s="107"/>
      <c r="S271" s="107"/>
      <c r="T271" s="127" t="s">
        <v>986</v>
      </c>
      <c r="U271" s="171" t="s">
        <v>16</v>
      </c>
      <c r="V271" s="154" t="s">
        <v>16</v>
      </c>
      <c r="W271" s="154" t="s">
        <v>16</v>
      </c>
      <c r="X271" s="156" t="s">
        <v>194</v>
      </c>
      <c r="Y271" s="154" t="s">
        <v>977</v>
      </c>
      <c r="Z271" s="155" t="s">
        <v>933</v>
      </c>
      <c r="AA271" s="156">
        <v>1</v>
      </c>
      <c r="AB271" s="156" t="s">
        <v>978</v>
      </c>
      <c r="AC271" s="154">
        <v>8.0359999999999996</v>
      </c>
      <c r="AD271" s="154">
        <v>7.8159999999999998</v>
      </c>
      <c r="AE271" s="154">
        <v>8.2560000000000002</v>
      </c>
      <c r="AF271" s="154"/>
      <c r="AG271" s="154"/>
      <c r="AH271" s="154"/>
      <c r="AI271" s="183" t="s">
        <v>549</v>
      </c>
      <c r="AJ271" s="201"/>
      <c r="AK271" s="201"/>
      <c r="AL271" s="443"/>
      <c r="AM271" s="443"/>
      <c r="AN271" s="183" t="s">
        <v>973</v>
      </c>
      <c r="AO271" s="183" t="s">
        <v>974</v>
      </c>
      <c r="AP271" s="155" t="s">
        <v>6968</v>
      </c>
      <c r="AQ271" s="155" t="s">
        <v>37</v>
      </c>
      <c r="AR271" s="172">
        <v>44077</v>
      </c>
      <c r="AS271" s="155" t="s">
        <v>37</v>
      </c>
      <c r="AT271" s="362"/>
      <c r="AU271" s="1111"/>
    </row>
    <row r="272" spans="1:47" s="135" customFormat="1" ht="39" x14ac:dyDescent="0.25">
      <c r="A272" s="487" t="s">
        <v>740</v>
      </c>
      <c r="B272" s="128" t="s">
        <v>740</v>
      </c>
      <c r="C272" s="72">
        <v>592</v>
      </c>
      <c r="D272" s="586" t="s">
        <v>53</v>
      </c>
      <c r="E272" s="586" t="s">
        <v>52</v>
      </c>
      <c r="F272" s="72" t="s">
        <v>152</v>
      </c>
      <c r="G272" s="140" t="s">
        <v>1972</v>
      </c>
      <c r="H272" s="129" t="s">
        <v>5311</v>
      </c>
      <c r="I272" s="381" t="s">
        <v>5312</v>
      </c>
      <c r="J272" s="187">
        <v>126</v>
      </c>
      <c r="K272" s="73" t="s">
        <v>741</v>
      </c>
      <c r="L272" s="914">
        <v>1553696.0231999999</v>
      </c>
      <c r="M272" s="914">
        <v>5280143.6900000004</v>
      </c>
      <c r="N272" s="129"/>
      <c r="O272" s="129" t="s">
        <v>743</v>
      </c>
      <c r="P272" s="129" t="s">
        <v>61</v>
      </c>
      <c r="Q272" s="129"/>
      <c r="R272" s="129"/>
      <c r="S272" s="129"/>
      <c r="T272" s="1089" t="s">
        <v>1206</v>
      </c>
      <c r="U272" s="169" t="s">
        <v>16</v>
      </c>
      <c r="V272" s="151" t="s">
        <v>85</v>
      </c>
      <c r="W272" s="151" t="s">
        <v>85</v>
      </c>
      <c r="X272" s="153" t="s">
        <v>61</v>
      </c>
      <c r="Y272" s="153" t="s">
        <v>744</v>
      </c>
      <c r="Z272" s="152" t="s">
        <v>407</v>
      </c>
      <c r="AA272" s="153" t="s">
        <v>419</v>
      </c>
      <c r="AB272" s="153">
        <v>5.9</v>
      </c>
      <c r="AC272" s="151">
        <v>5.9</v>
      </c>
      <c r="AD272" s="151"/>
      <c r="AE272" s="151"/>
      <c r="AF272" s="151"/>
      <c r="AG272" s="151"/>
      <c r="AH272" s="151"/>
      <c r="AI272" s="203" t="s">
        <v>745</v>
      </c>
      <c r="AJ272" s="202"/>
      <c r="AK272" s="202"/>
      <c r="AL272" s="442"/>
      <c r="AM272" s="442"/>
      <c r="AN272" s="203" t="s">
        <v>746</v>
      </c>
      <c r="AO272" s="203" t="s">
        <v>1332</v>
      </c>
      <c r="AP272" s="152" t="s">
        <v>742</v>
      </c>
      <c r="AQ272" s="152" t="s">
        <v>37</v>
      </c>
      <c r="AR272" s="170">
        <v>44244</v>
      </c>
      <c r="AS272" s="152" t="s">
        <v>37</v>
      </c>
      <c r="AT272" s="361"/>
      <c r="AU272" s="1112"/>
    </row>
    <row r="273" spans="1:47" s="135" customFormat="1" ht="27" thickBot="1" x14ac:dyDescent="0.3">
      <c r="A273" s="488"/>
      <c r="B273" s="131"/>
      <c r="C273" s="75"/>
      <c r="D273" s="568"/>
      <c r="E273" s="568"/>
      <c r="F273" s="75"/>
      <c r="G273" s="143"/>
      <c r="H273" s="118"/>
      <c r="I273" s="121"/>
      <c r="J273" s="188">
        <v>127</v>
      </c>
      <c r="K273" s="76" t="s">
        <v>747</v>
      </c>
      <c r="L273" s="915">
        <v>1552707.6173</v>
      </c>
      <c r="M273" s="915">
        <v>5279790.4970000004</v>
      </c>
      <c r="N273" s="118"/>
      <c r="O273" s="118" t="s">
        <v>748</v>
      </c>
      <c r="P273" s="118" t="s">
        <v>5</v>
      </c>
      <c r="Q273" s="118"/>
      <c r="R273" s="118"/>
      <c r="S273" s="118"/>
      <c r="T273" s="1090" t="s">
        <v>2259</v>
      </c>
      <c r="U273" s="171" t="s">
        <v>85</v>
      </c>
      <c r="V273" s="154" t="s">
        <v>16</v>
      </c>
      <c r="W273" s="154" t="s">
        <v>85</v>
      </c>
      <c r="X273" s="156" t="s">
        <v>5</v>
      </c>
      <c r="Y273" s="154" t="s">
        <v>722</v>
      </c>
      <c r="Z273" s="155" t="s">
        <v>261</v>
      </c>
      <c r="AA273" s="156">
        <v>1</v>
      </c>
      <c r="AB273" s="156">
        <v>18</v>
      </c>
      <c r="AC273" s="154">
        <v>18</v>
      </c>
      <c r="AD273" s="154"/>
      <c r="AE273" s="154"/>
      <c r="AF273" s="154"/>
      <c r="AG273" s="154"/>
      <c r="AH273" s="154"/>
      <c r="AI273" s="183" t="s">
        <v>256</v>
      </c>
      <c r="AJ273" s="201"/>
      <c r="AK273" s="201"/>
      <c r="AL273" s="443"/>
      <c r="AM273" s="443"/>
      <c r="AN273" s="183" t="s">
        <v>749</v>
      </c>
      <c r="AO273" s="183" t="s">
        <v>750</v>
      </c>
      <c r="AP273" s="155" t="s">
        <v>742</v>
      </c>
      <c r="AQ273" s="155" t="s">
        <v>37</v>
      </c>
      <c r="AR273" s="172">
        <v>44244</v>
      </c>
      <c r="AS273" s="155" t="s">
        <v>37</v>
      </c>
      <c r="AT273" s="362"/>
      <c r="AU273" s="1111"/>
    </row>
    <row r="274" spans="1:47" s="135" customFormat="1" ht="26.25" x14ac:dyDescent="0.25">
      <c r="A274" s="488"/>
      <c r="B274" s="131"/>
      <c r="C274" s="75"/>
      <c r="D274" s="568"/>
      <c r="E274" s="568"/>
      <c r="F274" s="75"/>
      <c r="G274" s="143"/>
      <c r="H274" s="118"/>
      <c r="I274" s="121"/>
      <c r="J274" s="188">
        <v>130</v>
      </c>
      <c r="K274" s="76" t="s">
        <v>765</v>
      </c>
      <c r="L274" s="915">
        <v>1552697.5085</v>
      </c>
      <c r="M274" s="915">
        <v>5279786.8454999998</v>
      </c>
      <c r="N274" s="118"/>
      <c r="O274" s="118" t="s">
        <v>766</v>
      </c>
      <c r="P274" s="118" t="s">
        <v>5</v>
      </c>
      <c r="Q274" s="118"/>
      <c r="R274" s="118"/>
      <c r="S274" s="118"/>
      <c r="T274" s="601" t="s">
        <v>2260</v>
      </c>
      <c r="U274" s="169" t="s">
        <v>16</v>
      </c>
      <c r="V274" s="151" t="s">
        <v>16</v>
      </c>
      <c r="W274" s="151" t="s">
        <v>16</v>
      </c>
      <c r="X274" s="153" t="s">
        <v>5</v>
      </c>
      <c r="Y274" s="151" t="s">
        <v>767</v>
      </c>
      <c r="Z274" s="152" t="s">
        <v>604</v>
      </c>
      <c r="AA274" s="153">
        <v>1</v>
      </c>
      <c r="AB274" s="153">
        <v>18</v>
      </c>
      <c r="AC274" s="151">
        <v>18</v>
      </c>
      <c r="AD274" s="151">
        <v>16</v>
      </c>
      <c r="AE274" s="151">
        <v>20</v>
      </c>
      <c r="AF274" s="151"/>
      <c r="AG274" s="151"/>
      <c r="AH274" s="151"/>
      <c r="AI274" s="203" t="s">
        <v>256</v>
      </c>
      <c r="AJ274" s="202"/>
      <c r="AK274" s="202"/>
      <c r="AL274" s="442"/>
      <c r="AM274" s="442"/>
      <c r="AN274" s="203" t="s">
        <v>770</v>
      </c>
      <c r="AO274" s="203" t="s">
        <v>768</v>
      </c>
      <c r="AP274" s="152" t="s">
        <v>738</v>
      </c>
      <c r="AQ274" s="152" t="s">
        <v>37</v>
      </c>
      <c r="AR274" s="170">
        <v>44244</v>
      </c>
      <c r="AS274" s="152" t="s">
        <v>37</v>
      </c>
      <c r="AT274" s="361"/>
      <c r="AU274" s="1112"/>
    </row>
    <row r="275" spans="1:47" s="135" customFormat="1" ht="27" thickBot="1" x14ac:dyDescent="0.3">
      <c r="A275" s="489"/>
      <c r="B275" s="133"/>
      <c r="C275" s="78"/>
      <c r="D275" s="569"/>
      <c r="E275" s="569"/>
      <c r="F275" s="78"/>
      <c r="G275" s="144"/>
      <c r="H275" s="119"/>
      <c r="I275" s="429"/>
      <c r="J275" s="192">
        <v>131</v>
      </c>
      <c r="K275" s="79" t="s">
        <v>771</v>
      </c>
      <c r="L275" s="916">
        <v>1553445.8966000001</v>
      </c>
      <c r="M275" s="916">
        <v>5280035.0738000004</v>
      </c>
      <c r="N275" s="119"/>
      <c r="O275" s="119" t="s">
        <v>772</v>
      </c>
      <c r="P275" s="119" t="s">
        <v>61</v>
      </c>
      <c r="Q275" s="119"/>
      <c r="R275" s="119"/>
      <c r="S275" s="119"/>
      <c r="T275" s="267" t="s">
        <v>4706</v>
      </c>
      <c r="U275" s="171" t="s">
        <v>16</v>
      </c>
      <c r="V275" s="154" t="s">
        <v>16</v>
      </c>
      <c r="W275" s="154" t="s">
        <v>16</v>
      </c>
      <c r="X275" s="156" t="s">
        <v>61</v>
      </c>
      <c r="Y275" s="156" t="s">
        <v>773</v>
      </c>
      <c r="Z275" s="155" t="s">
        <v>604</v>
      </c>
      <c r="AA275" s="156" t="s">
        <v>419</v>
      </c>
      <c r="AB275" s="156">
        <v>7.08</v>
      </c>
      <c r="AC275" s="154">
        <v>7.08</v>
      </c>
      <c r="AD275" s="154">
        <v>3.23</v>
      </c>
      <c r="AE275" s="154">
        <v>10.93</v>
      </c>
      <c r="AF275" s="154"/>
      <c r="AG275" s="154"/>
      <c r="AH275" s="154"/>
      <c r="AI275" s="183" t="s">
        <v>376</v>
      </c>
      <c r="AJ275" s="201"/>
      <c r="AK275" s="201"/>
      <c r="AL275" s="443"/>
      <c r="AM275" s="443"/>
      <c r="AN275" s="51" t="s">
        <v>384</v>
      </c>
      <c r="AO275" s="51" t="s">
        <v>660</v>
      </c>
      <c r="AP275" s="155" t="s">
        <v>738</v>
      </c>
      <c r="AQ275" s="155" t="s">
        <v>37</v>
      </c>
      <c r="AR275" s="172">
        <v>44244</v>
      </c>
      <c r="AS275" s="155" t="s">
        <v>37</v>
      </c>
      <c r="AT275" s="362"/>
      <c r="AU275" s="1111"/>
    </row>
    <row r="276" spans="1:47" s="135" customFormat="1" ht="90.75" thickBot="1" x14ac:dyDescent="0.3">
      <c r="A276" s="334" t="s">
        <v>1899</v>
      </c>
      <c r="B276" s="333" t="s">
        <v>1899</v>
      </c>
      <c r="C276" s="84">
        <v>252</v>
      </c>
      <c r="D276" s="591" t="s">
        <v>57</v>
      </c>
      <c r="E276" s="591"/>
      <c r="F276" s="84" t="s">
        <v>668</v>
      </c>
      <c r="G276" s="149" t="s">
        <v>1238</v>
      </c>
      <c r="H276" s="109" t="s">
        <v>5645</v>
      </c>
      <c r="I276" s="124" t="s">
        <v>150</v>
      </c>
      <c r="J276" s="89">
        <v>258</v>
      </c>
      <c r="K276" s="396" t="s">
        <v>1900</v>
      </c>
      <c r="L276" s="265">
        <v>1810220.5153000001</v>
      </c>
      <c r="M276" s="265">
        <v>5627272.1955000004</v>
      </c>
      <c r="N276" s="109"/>
      <c r="O276" s="109" t="s">
        <v>1075</v>
      </c>
      <c r="P276" s="109" t="s">
        <v>193</v>
      </c>
      <c r="Q276" s="109"/>
      <c r="R276" s="109"/>
      <c r="S276" s="109"/>
      <c r="T276" s="343" t="s">
        <v>2261</v>
      </c>
      <c r="U276" s="206" t="s">
        <v>16</v>
      </c>
      <c r="V276" s="204" t="s">
        <v>16</v>
      </c>
      <c r="W276" s="204" t="s">
        <v>16</v>
      </c>
      <c r="X276" s="176" t="s">
        <v>194</v>
      </c>
      <c r="Y276" s="176" t="s">
        <v>1901</v>
      </c>
      <c r="Z276" s="208" t="s">
        <v>604</v>
      </c>
      <c r="AA276" s="176">
        <v>1</v>
      </c>
      <c r="AB276" s="176" t="s">
        <v>1902</v>
      </c>
      <c r="AC276" s="204">
        <v>26.5</v>
      </c>
      <c r="AD276" s="204">
        <v>26.3</v>
      </c>
      <c r="AE276" s="204">
        <v>26.7</v>
      </c>
      <c r="AF276" s="204"/>
      <c r="AG276" s="204"/>
      <c r="AH276" s="204"/>
      <c r="AI276" s="207" t="s">
        <v>256</v>
      </c>
      <c r="AJ276" s="205"/>
      <c r="AK276" s="205"/>
      <c r="AL276" s="353"/>
      <c r="AM276" s="353"/>
      <c r="AN276" s="94" t="s">
        <v>1903</v>
      </c>
      <c r="AO276" s="94" t="s">
        <v>1904</v>
      </c>
      <c r="AP276" s="208" t="s">
        <v>1942</v>
      </c>
      <c r="AQ276" s="208" t="s">
        <v>37</v>
      </c>
      <c r="AR276" s="209">
        <v>44244</v>
      </c>
      <c r="AS276" s="208" t="s">
        <v>37</v>
      </c>
      <c r="AT276" s="364"/>
      <c r="AU276" s="1109"/>
    </row>
    <row r="277" spans="1:47" s="8" customFormat="1" ht="64.5" x14ac:dyDescent="0.25">
      <c r="A277" s="82" t="s">
        <v>2191</v>
      </c>
      <c r="B277" s="82" t="s">
        <v>2192</v>
      </c>
      <c r="C277" s="64">
        <v>578</v>
      </c>
      <c r="D277" s="82" t="s">
        <v>6844</v>
      </c>
      <c r="E277" s="82"/>
      <c r="F277" s="251" t="s">
        <v>668</v>
      </c>
      <c r="G277" s="251" t="s">
        <v>4986</v>
      </c>
      <c r="H277" s="251" t="s">
        <v>5478</v>
      </c>
      <c r="I277" s="626" t="s">
        <v>5479</v>
      </c>
      <c r="J277" s="398">
        <v>1189</v>
      </c>
      <c r="K277" s="65" t="s">
        <v>2193</v>
      </c>
      <c r="L277" s="909">
        <v>1681510.5142000001</v>
      </c>
      <c r="M277" s="909">
        <v>5351349.6402000003</v>
      </c>
      <c r="N277" s="251"/>
      <c r="O277" s="251" t="s">
        <v>2194</v>
      </c>
      <c r="P277" s="251" t="s">
        <v>5</v>
      </c>
      <c r="Q277" s="251"/>
      <c r="R277" s="251" t="s">
        <v>2195</v>
      </c>
      <c r="S277" s="251"/>
      <c r="T277" s="303" t="s">
        <v>2196</v>
      </c>
      <c r="U277" s="321" t="s">
        <v>85</v>
      </c>
      <c r="V277" s="287" t="s">
        <v>16</v>
      </c>
      <c r="W277" s="287" t="s">
        <v>85</v>
      </c>
      <c r="X277" s="287" t="s">
        <v>5</v>
      </c>
      <c r="Y277" s="287" t="s">
        <v>2197</v>
      </c>
      <c r="Z277" s="389" t="s">
        <v>401</v>
      </c>
      <c r="AA277" s="287"/>
      <c r="AB277" s="287" t="s">
        <v>2198</v>
      </c>
      <c r="AC277" s="287"/>
      <c r="AD277" s="287">
        <v>25</v>
      </c>
      <c r="AE277" s="287">
        <v>30</v>
      </c>
      <c r="AF277" s="287"/>
      <c r="AG277" s="287"/>
      <c r="AH277" s="287"/>
      <c r="AI277" s="286" t="s">
        <v>5084</v>
      </c>
      <c r="AJ277" s="287"/>
      <c r="AK277" s="287"/>
      <c r="AL277" s="287"/>
      <c r="AM277" s="287"/>
      <c r="AN277" s="286" t="s">
        <v>2199</v>
      </c>
      <c r="AO277" s="286" t="s">
        <v>2200</v>
      </c>
      <c r="AP277" s="237" t="s">
        <v>2201</v>
      </c>
      <c r="AQ277" s="286" t="s">
        <v>1380</v>
      </c>
      <c r="AR277" s="285">
        <v>44097</v>
      </c>
      <c r="AS277" s="286" t="s">
        <v>1380</v>
      </c>
      <c r="AT277" s="285">
        <v>44109</v>
      </c>
      <c r="AU277" s="284" t="s">
        <v>37</v>
      </c>
    </row>
    <row r="278" spans="1:47" s="8" customFormat="1" ht="26.25" x14ac:dyDescent="0.25">
      <c r="A278" s="630"/>
      <c r="B278" s="630"/>
      <c r="C278" s="408"/>
      <c r="D278" s="630"/>
      <c r="E278" s="630"/>
      <c r="F278" s="306"/>
      <c r="G278" s="306"/>
      <c r="H278" s="306"/>
      <c r="I278" s="313"/>
      <c r="J278" s="521">
        <v>1190</v>
      </c>
      <c r="K278" s="468" t="s">
        <v>2202</v>
      </c>
      <c r="L278" s="921">
        <v>1681449.9631000001</v>
      </c>
      <c r="M278" s="921">
        <v>5351313.4583999999</v>
      </c>
      <c r="N278" s="306"/>
      <c r="O278" s="306" t="s">
        <v>2203</v>
      </c>
      <c r="P278" s="306" t="s">
        <v>5</v>
      </c>
      <c r="Q278" s="306"/>
      <c r="R278" s="306"/>
      <c r="S278" s="306"/>
      <c r="T278" s="305" t="s">
        <v>2176</v>
      </c>
      <c r="U278" s="326" t="s">
        <v>85</v>
      </c>
      <c r="V278" s="281" t="s">
        <v>16</v>
      </c>
      <c r="W278" s="281" t="s">
        <v>85</v>
      </c>
      <c r="X278" s="281" t="s">
        <v>5</v>
      </c>
      <c r="Y278" s="281" t="s">
        <v>2204</v>
      </c>
      <c r="Z278" s="388" t="s">
        <v>24</v>
      </c>
      <c r="AA278" s="281"/>
      <c r="AB278" s="281" t="s">
        <v>2205</v>
      </c>
      <c r="AC278" s="281"/>
      <c r="AD278" s="281">
        <v>25</v>
      </c>
      <c r="AE278" s="281">
        <v>34</v>
      </c>
      <c r="AF278" s="281"/>
      <c r="AG278" s="281"/>
      <c r="AH278" s="281"/>
      <c r="AI278" s="280" t="s">
        <v>5084</v>
      </c>
      <c r="AJ278" s="281"/>
      <c r="AK278" s="281"/>
      <c r="AL278" s="281"/>
      <c r="AM278" s="281"/>
      <c r="AN278" s="280" t="s">
        <v>2206</v>
      </c>
      <c r="AO278" s="280" t="s">
        <v>2207</v>
      </c>
      <c r="AP278" s="328" t="s">
        <v>2201</v>
      </c>
      <c r="AQ278" s="280" t="s">
        <v>1380</v>
      </c>
      <c r="AR278" s="279">
        <v>44097</v>
      </c>
      <c r="AS278" s="280" t="s">
        <v>1380</v>
      </c>
      <c r="AT278" s="279">
        <v>44109</v>
      </c>
      <c r="AU278" s="278" t="s">
        <v>37</v>
      </c>
    </row>
    <row r="279" spans="1:47" s="8" customFormat="1" ht="27" thickBot="1" x14ac:dyDescent="0.3">
      <c r="A279" s="1038"/>
      <c r="B279" s="630"/>
      <c r="C279" s="408"/>
      <c r="D279" s="630"/>
      <c r="E279" s="630"/>
      <c r="F279" s="306"/>
      <c r="G279" s="306"/>
      <c r="H279" s="306"/>
      <c r="I279" s="313"/>
      <c r="J279" s="521" t="s">
        <v>2156</v>
      </c>
      <c r="K279" s="468" t="s">
        <v>5085</v>
      </c>
      <c r="L279" s="921" t="s">
        <v>2156</v>
      </c>
      <c r="M279" s="921" t="s">
        <v>2156</v>
      </c>
      <c r="N279" s="306"/>
      <c r="O279" s="306" t="s">
        <v>2203</v>
      </c>
      <c r="P279" s="306" t="s">
        <v>5</v>
      </c>
      <c r="Q279" s="306"/>
      <c r="R279" s="306"/>
      <c r="S279" s="306"/>
      <c r="T279" s="305" t="s">
        <v>2176</v>
      </c>
      <c r="U279" s="326"/>
      <c r="V279" s="281"/>
      <c r="W279" s="281"/>
      <c r="X279" s="281" t="s">
        <v>5</v>
      </c>
      <c r="Y279" s="281"/>
      <c r="Z279" s="388"/>
      <c r="AA279" s="281"/>
      <c r="AB279" s="281"/>
      <c r="AC279" s="281"/>
      <c r="AD279" s="281"/>
      <c r="AE279" s="281"/>
      <c r="AF279" s="281"/>
      <c r="AG279" s="281"/>
      <c r="AH279" s="281"/>
      <c r="AI279" s="280"/>
      <c r="AJ279" s="281"/>
      <c r="AK279" s="281"/>
      <c r="AL279" s="281"/>
      <c r="AM279" s="281"/>
      <c r="AN279" s="280"/>
      <c r="AO279" s="280"/>
      <c r="AP279" s="280" t="s">
        <v>5086</v>
      </c>
      <c r="AQ279" s="280" t="s">
        <v>1380</v>
      </c>
      <c r="AR279" s="279">
        <v>44097</v>
      </c>
      <c r="AS279" s="280" t="s">
        <v>1380</v>
      </c>
      <c r="AT279" s="280"/>
      <c r="AU279" s="278"/>
    </row>
    <row r="280" spans="1:47" s="8" customFormat="1" ht="26.25" x14ac:dyDescent="0.25">
      <c r="A280" s="630"/>
      <c r="B280" s="630"/>
      <c r="C280" s="408"/>
      <c r="D280" s="630"/>
      <c r="E280" s="630"/>
      <c r="F280" s="306"/>
      <c r="G280" s="306"/>
      <c r="H280" s="306"/>
      <c r="I280" s="313"/>
      <c r="J280" s="398">
        <v>1199</v>
      </c>
      <c r="K280" s="65" t="s">
        <v>2208</v>
      </c>
      <c r="L280" s="909">
        <v>1668761.6813000001</v>
      </c>
      <c r="M280" s="909">
        <v>5340368.6452000001</v>
      </c>
      <c r="N280" s="251"/>
      <c r="O280" s="251" t="s">
        <v>2209</v>
      </c>
      <c r="P280" s="251" t="s">
        <v>61</v>
      </c>
      <c r="Q280" s="251"/>
      <c r="R280" s="251"/>
      <c r="S280" s="251"/>
      <c r="T280" s="303" t="s">
        <v>2210</v>
      </c>
      <c r="U280" s="321" t="s">
        <v>16</v>
      </c>
      <c r="V280" s="287" t="s">
        <v>85</v>
      </c>
      <c r="W280" s="287" t="s">
        <v>85</v>
      </c>
      <c r="X280" s="287" t="s">
        <v>61</v>
      </c>
      <c r="Y280" s="287" t="s">
        <v>2211</v>
      </c>
      <c r="Z280" s="389" t="s">
        <v>407</v>
      </c>
      <c r="AA280" s="287"/>
      <c r="AB280" s="287" t="s">
        <v>2212</v>
      </c>
      <c r="AC280" s="287">
        <v>1.54</v>
      </c>
      <c r="AD280" s="287">
        <v>1.42</v>
      </c>
      <c r="AE280" s="287">
        <v>1.66</v>
      </c>
      <c r="AF280" s="287"/>
      <c r="AG280" s="287"/>
      <c r="AH280" s="287"/>
      <c r="AI280" s="286" t="s">
        <v>2166</v>
      </c>
      <c r="AJ280" s="287"/>
      <c r="AK280" s="287"/>
      <c r="AL280" s="287"/>
      <c r="AM280" s="287"/>
      <c r="AN280" s="286" t="s">
        <v>2213</v>
      </c>
      <c r="AO280" s="286" t="s">
        <v>2214</v>
      </c>
      <c r="AP280" s="286" t="s">
        <v>377</v>
      </c>
      <c r="AQ280" s="286" t="s">
        <v>1380</v>
      </c>
      <c r="AR280" s="285">
        <v>44098</v>
      </c>
      <c r="AS280" s="286" t="s">
        <v>1380</v>
      </c>
      <c r="AT280" s="285">
        <v>44116</v>
      </c>
      <c r="AU280" s="284" t="s">
        <v>37</v>
      </c>
    </row>
    <row r="281" spans="1:47" s="8" customFormat="1" ht="15.75" thickBot="1" x14ac:dyDescent="0.3">
      <c r="A281" s="323"/>
      <c r="B281" s="323"/>
      <c r="C281" s="69"/>
      <c r="D281" s="323"/>
      <c r="E281" s="631"/>
      <c r="F281" s="632"/>
      <c r="G281" s="632"/>
      <c r="H281" s="233"/>
      <c r="I281" s="234"/>
      <c r="J281" s="399">
        <v>1200</v>
      </c>
      <c r="K281" s="70" t="s">
        <v>2215</v>
      </c>
      <c r="L281" s="910">
        <v>1668781.5845999999</v>
      </c>
      <c r="M281" s="910">
        <v>5340383.1505000005</v>
      </c>
      <c r="N281" s="233"/>
      <c r="O281" s="233" t="s">
        <v>2216</v>
      </c>
      <c r="P281" s="233" t="s">
        <v>5</v>
      </c>
      <c r="Q281" s="233"/>
      <c r="R281" s="233"/>
      <c r="S281" s="233"/>
      <c r="T281" s="322" t="s">
        <v>2217</v>
      </c>
      <c r="U281" s="318" t="s">
        <v>16</v>
      </c>
      <c r="V281" s="272" t="s">
        <v>85</v>
      </c>
      <c r="W281" s="272" t="s">
        <v>85</v>
      </c>
      <c r="X281" s="272" t="s">
        <v>5</v>
      </c>
      <c r="Y281" s="272" t="s">
        <v>2218</v>
      </c>
      <c r="Z281" s="391" t="s">
        <v>407</v>
      </c>
      <c r="AA281" s="272"/>
      <c r="AB281" s="272" t="s">
        <v>2219</v>
      </c>
      <c r="AC281" s="272">
        <v>0.98</v>
      </c>
      <c r="AD281" s="272">
        <v>0.92</v>
      </c>
      <c r="AE281" s="272">
        <v>1.04</v>
      </c>
      <c r="AF281" s="272"/>
      <c r="AG281" s="272"/>
      <c r="AH281" s="272"/>
      <c r="AI281" s="271" t="s">
        <v>2166</v>
      </c>
      <c r="AJ281" s="272"/>
      <c r="AK281" s="272"/>
      <c r="AL281" s="272"/>
      <c r="AM281" s="272"/>
      <c r="AN281" s="271" t="s">
        <v>2220</v>
      </c>
      <c r="AO281" s="271" t="s">
        <v>2214</v>
      </c>
      <c r="AP281" s="271" t="s">
        <v>377</v>
      </c>
      <c r="AQ281" s="271" t="s">
        <v>1380</v>
      </c>
      <c r="AR281" s="270">
        <v>44098</v>
      </c>
      <c r="AS281" s="271" t="s">
        <v>1380</v>
      </c>
      <c r="AT281" s="270">
        <v>44116</v>
      </c>
      <c r="AU281" s="269" t="s">
        <v>37</v>
      </c>
    </row>
    <row r="282" spans="1:47" s="135" customFormat="1" ht="39.75" thickBot="1" x14ac:dyDescent="0.3">
      <c r="A282" s="648" t="s">
        <v>1303</v>
      </c>
      <c r="B282" s="598" t="s">
        <v>6812</v>
      </c>
      <c r="C282" s="248">
        <v>12</v>
      </c>
      <c r="D282" s="595" t="s">
        <v>57</v>
      </c>
      <c r="E282" s="595" t="s">
        <v>53</v>
      </c>
      <c r="F282" s="248" t="s">
        <v>4679</v>
      </c>
      <c r="G282" s="249" t="s">
        <v>4996</v>
      </c>
      <c r="H282" s="426" t="s">
        <v>1330</v>
      </c>
      <c r="I282" s="634" t="s">
        <v>5480</v>
      </c>
      <c r="J282" s="195">
        <v>242</v>
      </c>
      <c r="K282" s="435" t="s">
        <v>1308</v>
      </c>
      <c r="L282" s="927">
        <v>1830756.3905</v>
      </c>
      <c r="M282" s="927">
        <v>5846661.3810000001</v>
      </c>
      <c r="N282" s="1065"/>
      <c r="O282" s="167" t="s">
        <v>1314</v>
      </c>
      <c r="P282" s="167" t="s">
        <v>194</v>
      </c>
      <c r="Q282" s="1091"/>
      <c r="R282" s="1091"/>
      <c r="S282" s="1091"/>
      <c r="T282" s="200" t="s">
        <v>1330</v>
      </c>
      <c r="U282" s="171" t="s">
        <v>16</v>
      </c>
      <c r="V282" s="154" t="s">
        <v>16</v>
      </c>
      <c r="W282" s="154" t="s">
        <v>16</v>
      </c>
      <c r="X282" s="156" t="s">
        <v>194</v>
      </c>
      <c r="Y282" s="49" t="s">
        <v>1320</v>
      </c>
      <c r="Z282" s="155" t="s">
        <v>1323</v>
      </c>
      <c r="AA282" s="156">
        <v>1</v>
      </c>
      <c r="AB282" s="156" t="s">
        <v>1324</v>
      </c>
      <c r="AC282" s="154">
        <v>20</v>
      </c>
      <c r="AD282" s="154">
        <v>17.5</v>
      </c>
      <c r="AE282" s="154">
        <v>22.5</v>
      </c>
      <c r="AF282" s="154"/>
      <c r="AG282" s="154"/>
      <c r="AH282" s="154"/>
      <c r="AI282" s="183" t="s">
        <v>256</v>
      </c>
      <c r="AJ282" s="201"/>
      <c r="AK282" s="201"/>
      <c r="AL282" s="443"/>
      <c r="AM282" s="443"/>
      <c r="AN282" s="183" t="s">
        <v>1336</v>
      </c>
      <c r="AO282" s="183" t="s">
        <v>1335</v>
      </c>
      <c r="AP282" s="155" t="s">
        <v>1322</v>
      </c>
      <c r="AQ282" s="155" t="s">
        <v>37</v>
      </c>
      <c r="AR282" s="172">
        <v>44244</v>
      </c>
      <c r="AS282" s="155" t="s">
        <v>37</v>
      </c>
      <c r="AT282" s="362"/>
      <c r="AU282" s="1111"/>
    </row>
    <row r="283" spans="1:47" s="135" customFormat="1" ht="39.75" thickBot="1" x14ac:dyDescent="0.3">
      <c r="A283" s="341" t="s">
        <v>1303</v>
      </c>
      <c r="B283" s="181" t="s">
        <v>6813</v>
      </c>
      <c r="C283" s="125">
        <v>17</v>
      </c>
      <c r="D283" s="585" t="s">
        <v>57</v>
      </c>
      <c r="E283" s="585" t="s">
        <v>53</v>
      </c>
      <c r="F283" s="125" t="s">
        <v>4679</v>
      </c>
      <c r="G283" s="145" t="s">
        <v>4996</v>
      </c>
      <c r="H283" s="126" t="s">
        <v>1326</v>
      </c>
      <c r="I283" s="247" t="s">
        <v>5480</v>
      </c>
      <c r="J283" s="189">
        <v>238</v>
      </c>
      <c r="K283" s="355" t="s">
        <v>1304</v>
      </c>
      <c r="L283" s="928">
        <v>1844612.4051999999</v>
      </c>
      <c r="M283" s="928">
        <v>5801797.8282000003</v>
      </c>
      <c r="N283" s="1066"/>
      <c r="O283" s="126" t="s">
        <v>1310</v>
      </c>
      <c r="P283" s="126" t="s">
        <v>194</v>
      </c>
      <c r="Q283" s="558"/>
      <c r="R283" s="558"/>
      <c r="S283" s="558"/>
      <c r="T283" s="344" t="s">
        <v>1326</v>
      </c>
      <c r="U283" s="206" t="s">
        <v>16</v>
      </c>
      <c r="V283" s="204" t="s">
        <v>16</v>
      </c>
      <c r="W283" s="204" t="s">
        <v>16</v>
      </c>
      <c r="X283" s="176" t="s">
        <v>194</v>
      </c>
      <c r="Y283" s="243" t="s">
        <v>1316</v>
      </c>
      <c r="Z283" s="208" t="s">
        <v>1323</v>
      </c>
      <c r="AA283" s="176">
        <v>1</v>
      </c>
      <c r="AB283" s="176" t="s">
        <v>1324</v>
      </c>
      <c r="AC283" s="204">
        <v>20</v>
      </c>
      <c r="AD283" s="204">
        <v>17.5</v>
      </c>
      <c r="AE283" s="204">
        <v>22.5</v>
      </c>
      <c r="AF283" s="204"/>
      <c r="AG283" s="204"/>
      <c r="AH283" s="204"/>
      <c r="AI283" s="207" t="s">
        <v>256</v>
      </c>
      <c r="AJ283" s="205"/>
      <c r="AK283" s="205"/>
      <c r="AL283" s="353"/>
      <c r="AM283" s="353"/>
      <c r="AN283" s="207" t="s">
        <v>1333</v>
      </c>
      <c r="AO283" s="207" t="s">
        <v>1335</v>
      </c>
      <c r="AP283" s="208" t="s">
        <v>1322</v>
      </c>
      <c r="AQ283" s="208" t="s">
        <v>37</v>
      </c>
      <c r="AR283" s="209">
        <v>44244</v>
      </c>
      <c r="AS283" s="208" t="s">
        <v>37</v>
      </c>
      <c r="AT283" s="364"/>
      <c r="AU283" s="1109"/>
    </row>
    <row r="284" spans="1:47" s="135" customFormat="1" ht="39" x14ac:dyDescent="0.25">
      <c r="A284" s="487" t="s">
        <v>1303</v>
      </c>
      <c r="B284" s="128" t="s">
        <v>6811</v>
      </c>
      <c r="C284" s="72">
        <v>14</v>
      </c>
      <c r="D284" s="586" t="s">
        <v>57</v>
      </c>
      <c r="E284" s="586" t="s">
        <v>53</v>
      </c>
      <c r="F284" s="72" t="s">
        <v>4679</v>
      </c>
      <c r="G284" s="140" t="s">
        <v>4996</v>
      </c>
      <c r="H284" s="129" t="s">
        <v>1328</v>
      </c>
      <c r="I284" s="381" t="s">
        <v>5480</v>
      </c>
      <c r="J284" s="187">
        <v>239</v>
      </c>
      <c r="K284" s="73" t="s">
        <v>1305</v>
      </c>
      <c r="L284" s="929">
        <v>1848483.9288999999</v>
      </c>
      <c r="M284" s="929">
        <v>5807948.0045999996</v>
      </c>
      <c r="N284" s="1067"/>
      <c r="O284" s="129" t="s">
        <v>1311</v>
      </c>
      <c r="P284" s="129" t="s">
        <v>194</v>
      </c>
      <c r="Q284" s="1070"/>
      <c r="R284" s="1070"/>
      <c r="S284" s="1070"/>
      <c r="T284" s="266" t="s">
        <v>1328</v>
      </c>
      <c r="U284" s="138" t="s">
        <v>16</v>
      </c>
      <c r="V284" s="136" t="s">
        <v>16</v>
      </c>
      <c r="W284" s="136" t="s">
        <v>16</v>
      </c>
      <c r="X284" s="132" t="s">
        <v>194</v>
      </c>
      <c r="Y284" s="43" t="s">
        <v>1317</v>
      </c>
      <c r="Z284" s="137" t="s">
        <v>1323</v>
      </c>
      <c r="AA284" s="132">
        <v>1</v>
      </c>
      <c r="AB284" s="132" t="s">
        <v>1324</v>
      </c>
      <c r="AC284" s="136">
        <v>20</v>
      </c>
      <c r="AD284" s="136">
        <v>17.5</v>
      </c>
      <c r="AE284" s="136">
        <v>22.5</v>
      </c>
      <c r="AF284" s="136"/>
      <c r="AG284" s="136"/>
      <c r="AH284" s="136"/>
      <c r="AI284" s="180" t="s">
        <v>256</v>
      </c>
      <c r="AJ284" s="173"/>
      <c r="AK284" s="173"/>
      <c r="AL284" s="350"/>
      <c r="AM284" s="350"/>
      <c r="AN284" s="180" t="s">
        <v>1334</v>
      </c>
      <c r="AO284" s="180" t="s">
        <v>1335</v>
      </c>
      <c r="AP284" s="137" t="s">
        <v>1322</v>
      </c>
      <c r="AQ284" s="137" t="s">
        <v>37</v>
      </c>
      <c r="AR284" s="139">
        <v>44244</v>
      </c>
      <c r="AS284" s="137" t="s">
        <v>37</v>
      </c>
      <c r="AT284" s="358"/>
      <c r="AU284" s="1110"/>
    </row>
    <row r="285" spans="1:47" s="135" customFormat="1" ht="39.75" thickBot="1" x14ac:dyDescent="0.3">
      <c r="A285" s="489"/>
      <c r="B285" s="1044"/>
      <c r="C285" s="633"/>
      <c r="D285" s="633"/>
      <c r="E285" s="633"/>
      <c r="F285" s="1050"/>
      <c r="G285" s="633"/>
      <c r="H285" s="119"/>
      <c r="I285" s="429"/>
      <c r="J285" s="192">
        <v>240</v>
      </c>
      <c r="K285" s="79" t="s">
        <v>1306</v>
      </c>
      <c r="L285" s="930">
        <v>1848082.9294</v>
      </c>
      <c r="M285" s="930">
        <v>5808504.6838999996</v>
      </c>
      <c r="N285" s="1044"/>
      <c r="O285" s="119" t="s">
        <v>1312</v>
      </c>
      <c r="P285" s="119" t="s">
        <v>194</v>
      </c>
      <c r="Q285" s="1072"/>
      <c r="R285" s="1072"/>
      <c r="S285" s="1072"/>
      <c r="T285" s="267" t="s">
        <v>1327</v>
      </c>
      <c r="U285" s="138" t="s">
        <v>16</v>
      </c>
      <c r="V285" s="136" t="s">
        <v>16</v>
      </c>
      <c r="W285" s="136" t="s">
        <v>16</v>
      </c>
      <c r="X285" s="132" t="s">
        <v>194</v>
      </c>
      <c r="Y285" s="43" t="s">
        <v>1318</v>
      </c>
      <c r="Z285" s="137" t="s">
        <v>1323</v>
      </c>
      <c r="AA285" s="132">
        <v>1</v>
      </c>
      <c r="AB285" s="132" t="s">
        <v>1325</v>
      </c>
      <c r="AC285" s="136">
        <v>19</v>
      </c>
      <c r="AD285" s="136">
        <v>17</v>
      </c>
      <c r="AE285" s="136">
        <v>21</v>
      </c>
      <c r="AF285" s="136"/>
      <c r="AG285" s="136"/>
      <c r="AH285" s="136"/>
      <c r="AI285" s="180" t="s">
        <v>256</v>
      </c>
      <c r="AJ285" s="173"/>
      <c r="AK285" s="173"/>
      <c r="AL285" s="350"/>
      <c r="AM285" s="350"/>
      <c r="AN285" s="180" t="s">
        <v>1336</v>
      </c>
      <c r="AO285" s="180" t="s">
        <v>1337</v>
      </c>
      <c r="AP285" s="137" t="s">
        <v>1322</v>
      </c>
      <c r="AQ285" s="137" t="s">
        <v>37</v>
      </c>
      <c r="AR285" s="139">
        <v>44244</v>
      </c>
      <c r="AS285" s="137" t="s">
        <v>37</v>
      </c>
      <c r="AT285" s="358"/>
      <c r="AU285" s="1110"/>
    </row>
    <row r="286" spans="1:47" s="135" customFormat="1" ht="39.75" thickBot="1" x14ac:dyDescent="0.3">
      <c r="A286" s="334" t="s">
        <v>1303</v>
      </c>
      <c r="B286" s="333" t="s">
        <v>6814</v>
      </c>
      <c r="C286" s="84">
        <v>13</v>
      </c>
      <c r="D286" s="591" t="s">
        <v>57</v>
      </c>
      <c r="E286" s="591" t="s">
        <v>53</v>
      </c>
      <c r="F286" s="84" t="s">
        <v>4679</v>
      </c>
      <c r="G286" s="149" t="s">
        <v>4996</v>
      </c>
      <c r="H286" s="109" t="s">
        <v>1329</v>
      </c>
      <c r="I286" s="247" t="s">
        <v>5480</v>
      </c>
      <c r="J286" s="89">
        <v>241</v>
      </c>
      <c r="K286" s="396" t="s">
        <v>1307</v>
      </c>
      <c r="L286" s="931">
        <v>1836557.1270999999</v>
      </c>
      <c r="M286" s="931">
        <v>5832428.3567000004</v>
      </c>
      <c r="N286" s="1068"/>
      <c r="O286" s="109" t="s">
        <v>1313</v>
      </c>
      <c r="P286" s="109" t="s">
        <v>194</v>
      </c>
      <c r="Q286" s="1092"/>
      <c r="R286" s="1092"/>
      <c r="S286" s="1092"/>
      <c r="T286" s="343" t="s">
        <v>1329</v>
      </c>
      <c r="U286" s="138" t="s">
        <v>16</v>
      </c>
      <c r="V286" s="136" t="s">
        <v>16</v>
      </c>
      <c r="W286" s="136" t="s">
        <v>16</v>
      </c>
      <c r="X286" s="132" t="s">
        <v>194</v>
      </c>
      <c r="Y286" s="43" t="s">
        <v>1319</v>
      </c>
      <c r="Z286" s="137" t="s">
        <v>1323</v>
      </c>
      <c r="AA286" s="132">
        <v>1</v>
      </c>
      <c r="AB286" s="132" t="s">
        <v>1324</v>
      </c>
      <c r="AC286" s="136">
        <v>20</v>
      </c>
      <c r="AD286" s="136">
        <v>17.5</v>
      </c>
      <c r="AE286" s="136">
        <v>22.5</v>
      </c>
      <c r="AF286" s="136"/>
      <c r="AG286" s="136"/>
      <c r="AH286" s="136"/>
      <c r="AI286" s="180" t="s">
        <v>256</v>
      </c>
      <c r="AJ286" s="173"/>
      <c r="AK286" s="173"/>
      <c r="AL286" s="350"/>
      <c r="AM286" s="350"/>
      <c r="AN286" s="180" t="s">
        <v>1334</v>
      </c>
      <c r="AO286" s="180" t="s">
        <v>1335</v>
      </c>
      <c r="AP286" s="137" t="s">
        <v>1322</v>
      </c>
      <c r="AQ286" s="137" t="s">
        <v>37</v>
      </c>
      <c r="AR286" s="139">
        <v>44244</v>
      </c>
      <c r="AS286" s="137" t="s">
        <v>37</v>
      </c>
      <c r="AT286" s="358"/>
      <c r="AU286" s="1110"/>
    </row>
    <row r="287" spans="1:47" ht="52.5" thickBot="1" x14ac:dyDescent="0.3">
      <c r="A287" s="1036" t="s">
        <v>1852</v>
      </c>
      <c r="B287" s="537" t="s">
        <v>1852</v>
      </c>
      <c r="C287" s="210">
        <v>33</v>
      </c>
      <c r="D287" s="587" t="s">
        <v>57</v>
      </c>
      <c r="E287" s="587"/>
      <c r="F287" s="210" t="s">
        <v>155</v>
      </c>
      <c r="G287" s="385" t="s">
        <v>1238</v>
      </c>
      <c r="H287" s="264" t="s">
        <v>1871</v>
      </c>
      <c r="I287" s="537" t="s">
        <v>5482</v>
      </c>
      <c r="J287" s="263">
        <v>252</v>
      </c>
      <c r="K287" s="467" t="s">
        <v>1859</v>
      </c>
      <c r="L287" s="918">
        <v>1674662.7790000001</v>
      </c>
      <c r="M287" s="918">
        <v>5640962.0389</v>
      </c>
      <c r="N287" s="264"/>
      <c r="O287" s="264" t="s">
        <v>1864</v>
      </c>
      <c r="P287" s="210" t="s">
        <v>194</v>
      </c>
      <c r="Q287" s="1080"/>
      <c r="R287" s="1080"/>
      <c r="S287" s="1080"/>
      <c r="T287" s="1093" t="s">
        <v>1871</v>
      </c>
      <c r="U287" s="86" t="s">
        <v>16</v>
      </c>
      <c r="V287" s="86" t="s">
        <v>16</v>
      </c>
      <c r="W287" s="86" t="s">
        <v>16</v>
      </c>
      <c r="X287" s="86" t="s">
        <v>194</v>
      </c>
      <c r="Y287" s="86" t="s">
        <v>1877</v>
      </c>
      <c r="Z287" s="92" t="s">
        <v>604</v>
      </c>
      <c r="AA287" s="86">
        <v>1</v>
      </c>
      <c r="AB287" s="86">
        <v>8.6</v>
      </c>
      <c r="AC287" s="86">
        <v>8.6</v>
      </c>
      <c r="AD287" s="86"/>
      <c r="AE287" s="86"/>
      <c r="AF287" s="86"/>
      <c r="AG287" s="387"/>
      <c r="AH287" s="387"/>
      <c r="AI287" s="94" t="s">
        <v>256</v>
      </c>
      <c r="AJ287" s="106"/>
      <c r="AK287" s="106"/>
      <c r="AL287" s="387"/>
      <c r="AM287" s="387"/>
      <c r="AN287" s="92" t="s">
        <v>1884</v>
      </c>
      <c r="AO287" s="92" t="s">
        <v>1885</v>
      </c>
      <c r="AP287" s="92" t="s">
        <v>1868</v>
      </c>
      <c r="AQ287" s="92" t="s">
        <v>37</v>
      </c>
      <c r="AR287" s="93">
        <v>44103</v>
      </c>
      <c r="AS287" s="92" t="s">
        <v>37</v>
      </c>
      <c r="AT287" s="368"/>
      <c r="AU287" s="1108"/>
    </row>
    <row r="288" spans="1:47" ht="52.5" thickBot="1" x14ac:dyDescent="0.3">
      <c r="A288" s="334" t="s">
        <v>1854</v>
      </c>
      <c r="B288" s="333" t="s">
        <v>1854</v>
      </c>
      <c r="C288" s="84">
        <v>36</v>
      </c>
      <c r="D288" s="591" t="s">
        <v>57</v>
      </c>
      <c r="E288" s="591"/>
      <c r="F288" s="84" t="s">
        <v>155</v>
      </c>
      <c r="G288" s="149" t="s">
        <v>1238</v>
      </c>
      <c r="H288" s="109" t="s">
        <v>1873</v>
      </c>
      <c r="I288" s="333" t="s">
        <v>5482</v>
      </c>
      <c r="J288" s="89">
        <v>254</v>
      </c>
      <c r="K288" s="396" t="s">
        <v>1860</v>
      </c>
      <c r="L288" s="265">
        <v>1683184.0723999999</v>
      </c>
      <c r="M288" s="265">
        <v>5635158.6816999996</v>
      </c>
      <c r="N288" s="109"/>
      <c r="O288" s="109" t="s">
        <v>1866</v>
      </c>
      <c r="P288" s="84" t="s">
        <v>194</v>
      </c>
      <c r="Q288" s="1092"/>
      <c r="R288" s="1092"/>
      <c r="S288" s="1092"/>
      <c r="T288" s="343" t="s">
        <v>1873</v>
      </c>
      <c r="U288" s="86" t="s">
        <v>16</v>
      </c>
      <c r="V288" s="86" t="s">
        <v>16</v>
      </c>
      <c r="W288" s="86" t="s">
        <v>16</v>
      </c>
      <c r="X288" s="86" t="s">
        <v>194</v>
      </c>
      <c r="Y288" s="86" t="s">
        <v>1879</v>
      </c>
      <c r="Z288" s="92" t="s">
        <v>1086</v>
      </c>
      <c r="AA288" s="86">
        <v>1</v>
      </c>
      <c r="AB288" s="86">
        <v>8.6</v>
      </c>
      <c r="AC288" s="86">
        <v>8.6</v>
      </c>
      <c r="AD288" s="86"/>
      <c r="AE288" s="86"/>
      <c r="AF288" s="86"/>
      <c r="AG288" s="387"/>
      <c r="AH288" s="387"/>
      <c r="AI288" s="94" t="s">
        <v>256</v>
      </c>
      <c r="AJ288" s="106"/>
      <c r="AK288" s="106"/>
      <c r="AL288" s="387"/>
      <c r="AM288" s="387"/>
      <c r="AN288" s="92" t="s">
        <v>1884</v>
      </c>
      <c r="AO288" s="92" t="s">
        <v>1885</v>
      </c>
      <c r="AP288" s="92" t="s">
        <v>1868</v>
      </c>
      <c r="AQ288" s="92" t="s">
        <v>37</v>
      </c>
      <c r="AR288" s="93">
        <v>44103</v>
      </c>
      <c r="AS288" s="92" t="s">
        <v>37</v>
      </c>
      <c r="AT288" s="368"/>
      <c r="AU288" s="1108"/>
    </row>
    <row r="289" spans="1:47" ht="51.75" x14ac:dyDescent="0.25">
      <c r="A289" s="487" t="s">
        <v>1994</v>
      </c>
      <c r="B289" s="128" t="s">
        <v>1994</v>
      </c>
      <c r="C289" s="72">
        <v>713</v>
      </c>
      <c r="D289" s="586" t="s">
        <v>52</v>
      </c>
      <c r="E289" s="586" t="s">
        <v>53</v>
      </c>
      <c r="F289" s="72" t="s">
        <v>2002</v>
      </c>
      <c r="G289" s="140" t="s">
        <v>1973</v>
      </c>
      <c r="H289" s="129" t="s">
        <v>5483</v>
      </c>
      <c r="I289" s="128" t="s">
        <v>5484</v>
      </c>
      <c r="J289" s="187">
        <v>267</v>
      </c>
      <c r="K289" s="73" t="s">
        <v>1995</v>
      </c>
      <c r="L289" s="914">
        <v>1406260.6983</v>
      </c>
      <c r="M289" s="914">
        <v>5056417.2177999998</v>
      </c>
      <c r="N289" s="129"/>
      <c r="O289" s="129" t="s">
        <v>1996</v>
      </c>
      <c r="P289" s="72" t="s">
        <v>193</v>
      </c>
      <c r="Q289" s="1070"/>
      <c r="R289" s="1070"/>
      <c r="S289" s="1070"/>
      <c r="T289" s="266" t="s">
        <v>1996</v>
      </c>
      <c r="U289" s="31" t="s">
        <v>10</v>
      </c>
      <c r="V289" s="31" t="s">
        <v>16</v>
      </c>
      <c r="W289" s="31" t="s">
        <v>16</v>
      </c>
      <c r="X289" s="31" t="s">
        <v>194</v>
      </c>
      <c r="Y289" s="31" t="s">
        <v>1997</v>
      </c>
      <c r="Z289" s="40" t="s">
        <v>289</v>
      </c>
      <c r="AA289" s="31">
        <v>1</v>
      </c>
      <c r="AB289" s="31" t="s">
        <v>1998</v>
      </c>
      <c r="AC289" s="31"/>
      <c r="AD289" s="31">
        <v>65.3</v>
      </c>
      <c r="AE289" s="31">
        <v>77.5</v>
      </c>
      <c r="AF289" s="31"/>
      <c r="AG289" s="372"/>
      <c r="AH289" s="372"/>
      <c r="AI289" s="30" t="s">
        <v>23</v>
      </c>
      <c r="AJ289" s="130"/>
      <c r="AK289" s="130"/>
      <c r="AL289" s="372"/>
      <c r="AM289" s="372"/>
      <c r="AN289" s="40" t="s">
        <v>1999</v>
      </c>
      <c r="AO289" s="40" t="s">
        <v>2006</v>
      </c>
      <c r="AP289" s="40" t="s">
        <v>2008</v>
      </c>
      <c r="AQ289" s="40" t="s">
        <v>37</v>
      </c>
      <c r="AR289" s="41">
        <v>44106</v>
      </c>
      <c r="AS289" s="40" t="s">
        <v>37</v>
      </c>
      <c r="AT289" s="54"/>
      <c r="AU289" s="652"/>
    </row>
    <row r="290" spans="1:47" ht="52.5" thickBot="1" x14ac:dyDescent="0.3">
      <c r="A290" s="489"/>
      <c r="B290" s="133"/>
      <c r="C290" s="78"/>
      <c r="D290" s="569"/>
      <c r="E290" s="569"/>
      <c r="F290" s="78"/>
      <c r="G290" s="144"/>
      <c r="H290" s="119"/>
      <c r="I290" s="133"/>
      <c r="J290" s="192">
        <v>268</v>
      </c>
      <c r="K290" s="79" t="s">
        <v>2000</v>
      </c>
      <c r="L290" s="916">
        <v>1402781.2474</v>
      </c>
      <c r="M290" s="916">
        <v>5051187.8525</v>
      </c>
      <c r="N290" s="119"/>
      <c r="O290" s="119" t="s">
        <v>2001</v>
      </c>
      <c r="P290" s="78" t="s">
        <v>194</v>
      </c>
      <c r="Q290" s="1072"/>
      <c r="R290" s="1072"/>
      <c r="S290" s="1072"/>
      <c r="T290" s="267" t="s">
        <v>2003</v>
      </c>
      <c r="U290" s="25" t="s">
        <v>85</v>
      </c>
      <c r="V290" s="25" t="s">
        <v>16</v>
      </c>
      <c r="W290" s="25" t="s">
        <v>85</v>
      </c>
      <c r="X290" s="25" t="s">
        <v>194</v>
      </c>
      <c r="Y290" s="25">
        <v>4</v>
      </c>
      <c r="Z290" s="52" t="s">
        <v>289</v>
      </c>
      <c r="AA290" s="25">
        <v>1</v>
      </c>
      <c r="AB290" s="25" t="s">
        <v>2004</v>
      </c>
      <c r="AC290" s="25"/>
      <c r="AD290" s="25">
        <v>82.5</v>
      </c>
      <c r="AE290" s="25"/>
      <c r="AF290" s="25"/>
      <c r="AG290" s="386"/>
      <c r="AH290" s="386"/>
      <c r="AI290" s="51" t="s">
        <v>23</v>
      </c>
      <c r="AJ290" s="105"/>
      <c r="AK290" s="105"/>
      <c r="AL290" s="386"/>
      <c r="AM290" s="386"/>
      <c r="AN290" s="52" t="s">
        <v>2005</v>
      </c>
      <c r="AO290" s="52" t="s">
        <v>2007</v>
      </c>
      <c r="AP290" s="52" t="s">
        <v>2008</v>
      </c>
      <c r="AQ290" s="52" t="s">
        <v>37</v>
      </c>
      <c r="AR290" s="53">
        <v>44106</v>
      </c>
      <c r="AS290" s="52" t="s">
        <v>37</v>
      </c>
      <c r="AT290" s="367"/>
      <c r="AU290" s="653"/>
    </row>
    <row r="291" spans="1:47" s="8" customFormat="1" ht="103.5" thickBot="1" x14ac:dyDescent="0.3">
      <c r="A291" s="1041" t="s">
        <v>3635</v>
      </c>
      <c r="B291" s="589" t="s">
        <v>3635</v>
      </c>
      <c r="C291" s="110">
        <v>516</v>
      </c>
      <c r="D291" s="589" t="s">
        <v>52</v>
      </c>
      <c r="E291" s="589"/>
      <c r="F291" s="296" t="s">
        <v>668</v>
      </c>
      <c r="G291" s="149" t="s">
        <v>1263</v>
      </c>
      <c r="H291" s="296" t="s">
        <v>2684</v>
      </c>
      <c r="I291" s="625" t="s">
        <v>5485</v>
      </c>
      <c r="J291" s="476">
        <v>1310</v>
      </c>
      <c r="K291" s="449" t="s">
        <v>3634</v>
      </c>
      <c r="L291" s="908">
        <v>1510809.9587000001</v>
      </c>
      <c r="M291" s="908">
        <v>5398632.4201999996</v>
      </c>
      <c r="N291" s="296"/>
      <c r="O291" s="296" t="s">
        <v>3633</v>
      </c>
      <c r="P291" s="296" t="s">
        <v>194</v>
      </c>
      <c r="Q291" s="296"/>
      <c r="R291" s="296"/>
      <c r="S291" s="296"/>
      <c r="T291" s="295" t="s">
        <v>5053</v>
      </c>
      <c r="U291" s="314" t="s">
        <v>85</v>
      </c>
      <c r="V291" s="293" t="s">
        <v>85</v>
      </c>
      <c r="W291" s="293" t="s">
        <v>85</v>
      </c>
      <c r="X291" s="293"/>
      <c r="Y291" s="293"/>
      <c r="Z291" s="342" t="s">
        <v>5050</v>
      </c>
      <c r="AA291" s="293"/>
      <c r="AB291" s="293" t="s">
        <v>5052</v>
      </c>
      <c r="AC291" s="293"/>
      <c r="AD291" s="293"/>
      <c r="AE291" s="293"/>
      <c r="AF291" s="293"/>
      <c r="AG291" s="293"/>
      <c r="AH291" s="293"/>
      <c r="AI291" s="292" t="s">
        <v>256</v>
      </c>
      <c r="AJ291" s="293"/>
      <c r="AK291" s="293"/>
      <c r="AL291" s="293"/>
      <c r="AM291" s="293"/>
      <c r="AN291" s="292" t="s">
        <v>6933</v>
      </c>
      <c r="AO291" s="292" t="s">
        <v>5051</v>
      </c>
      <c r="AP291" s="292" t="s">
        <v>6970</v>
      </c>
      <c r="AQ291" s="292" t="s">
        <v>1380</v>
      </c>
      <c r="AR291" s="291">
        <v>44244</v>
      </c>
      <c r="AS291" s="292" t="s">
        <v>1380</v>
      </c>
      <c r="AT291" s="292"/>
      <c r="AU291" s="290"/>
    </row>
    <row r="292" spans="1:47" ht="39.75" thickBot="1" x14ac:dyDescent="0.3">
      <c r="A292" s="345" t="s">
        <v>5205</v>
      </c>
      <c r="B292" s="331" t="s">
        <v>6791</v>
      </c>
      <c r="C292" s="83" t="s">
        <v>2156</v>
      </c>
      <c r="D292" s="588" t="s">
        <v>2156</v>
      </c>
      <c r="E292" s="588" t="s">
        <v>2156</v>
      </c>
      <c r="F292" s="83" t="s">
        <v>2156</v>
      </c>
      <c r="G292" s="83" t="s">
        <v>2156</v>
      </c>
      <c r="H292" s="199" t="s">
        <v>2156</v>
      </c>
      <c r="I292" s="395" t="s">
        <v>2156</v>
      </c>
      <c r="J292" s="535">
        <v>2334</v>
      </c>
      <c r="K292" s="360" t="s">
        <v>5205</v>
      </c>
      <c r="L292" s="198">
        <v>1850203.2837</v>
      </c>
      <c r="M292" s="198">
        <v>5521253.2456999999</v>
      </c>
      <c r="N292" s="199">
        <v>25</v>
      </c>
      <c r="O292" s="199" t="s">
        <v>3468</v>
      </c>
      <c r="P292" s="83" t="s">
        <v>194</v>
      </c>
      <c r="Q292" s="199"/>
      <c r="R292" s="199"/>
      <c r="S292" s="199"/>
      <c r="T292" s="332" t="s">
        <v>1496</v>
      </c>
      <c r="U292" s="85" t="s">
        <v>16</v>
      </c>
      <c r="V292" s="86" t="s">
        <v>85</v>
      </c>
      <c r="W292" s="86" t="s">
        <v>16</v>
      </c>
      <c r="X292" s="86" t="s">
        <v>194</v>
      </c>
      <c r="Y292" s="106" t="s">
        <v>1463</v>
      </c>
      <c r="Z292" s="208" t="s">
        <v>2882</v>
      </c>
      <c r="AA292" s="86">
        <v>1</v>
      </c>
      <c r="AB292" s="106" t="s">
        <v>5156</v>
      </c>
      <c r="AC292" s="86">
        <v>12</v>
      </c>
      <c r="AD292" s="86"/>
      <c r="AE292" s="86"/>
      <c r="AF292" s="86">
        <v>10</v>
      </c>
      <c r="AG292" s="387"/>
      <c r="AH292" s="387"/>
      <c r="AI292" s="94" t="s">
        <v>256</v>
      </c>
      <c r="AJ292" s="86" t="s">
        <v>3459</v>
      </c>
      <c r="AK292" s="86"/>
      <c r="AL292" s="387"/>
      <c r="AM292" s="387"/>
      <c r="AN292" s="92" t="s">
        <v>5206</v>
      </c>
      <c r="AO292" s="292" t="s">
        <v>5699</v>
      </c>
      <c r="AP292" s="92" t="s">
        <v>5207</v>
      </c>
      <c r="AQ292" s="92" t="s">
        <v>3457</v>
      </c>
      <c r="AR292" s="93">
        <v>44245</v>
      </c>
      <c r="AS292" s="92" t="s">
        <v>3457</v>
      </c>
      <c r="AT292" s="93">
        <v>44267</v>
      </c>
      <c r="AU292" s="1108" t="s">
        <v>37</v>
      </c>
    </row>
    <row r="293" spans="1:47" s="135" customFormat="1" ht="77.25" x14ac:dyDescent="0.25">
      <c r="A293" s="524" t="s">
        <v>941</v>
      </c>
      <c r="B293" s="81" t="s">
        <v>942</v>
      </c>
      <c r="C293" s="26">
        <v>364</v>
      </c>
      <c r="D293" s="594" t="s">
        <v>6844</v>
      </c>
      <c r="E293" s="594"/>
      <c r="F293" s="26" t="s">
        <v>906</v>
      </c>
      <c r="G293" s="244" t="s">
        <v>4986</v>
      </c>
      <c r="H293" s="491" t="s">
        <v>5486</v>
      </c>
      <c r="I293" s="81" t="s">
        <v>150</v>
      </c>
      <c r="J293" s="490">
        <v>161</v>
      </c>
      <c r="K293" s="58" t="s">
        <v>946</v>
      </c>
      <c r="L293" s="932">
        <v>2019873.7793000001</v>
      </c>
      <c r="M293" s="932">
        <v>5638829.9903999995</v>
      </c>
      <c r="N293" s="491"/>
      <c r="O293" s="491" t="s">
        <v>947</v>
      </c>
      <c r="P293" s="491" t="s">
        <v>194</v>
      </c>
      <c r="Q293" s="491"/>
      <c r="R293" s="491"/>
      <c r="S293" s="491"/>
      <c r="T293" s="718" t="s">
        <v>949</v>
      </c>
      <c r="U293" s="151" t="s">
        <v>16</v>
      </c>
      <c r="V293" s="151" t="s">
        <v>16</v>
      </c>
      <c r="W293" s="151" t="s">
        <v>16</v>
      </c>
      <c r="X293" s="153" t="s">
        <v>194</v>
      </c>
      <c r="Y293" s="153" t="s">
        <v>951</v>
      </c>
      <c r="Z293" s="152" t="s">
        <v>933</v>
      </c>
      <c r="AA293" s="153">
        <v>1</v>
      </c>
      <c r="AB293" s="153" t="s">
        <v>954</v>
      </c>
      <c r="AC293" s="153">
        <v>125</v>
      </c>
      <c r="AD293" s="151">
        <v>123</v>
      </c>
      <c r="AE293" s="151">
        <v>127</v>
      </c>
      <c r="AF293" s="151"/>
      <c r="AG293" s="151"/>
      <c r="AH293" s="151"/>
      <c r="AI293" s="203" t="s">
        <v>256</v>
      </c>
      <c r="AJ293" s="202"/>
      <c r="AK293" s="202"/>
      <c r="AL293" s="442"/>
      <c r="AM293" s="442"/>
      <c r="AN293" s="30" t="s">
        <v>955</v>
      </c>
      <c r="AO293" s="30" t="s">
        <v>956</v>
      </c>
      <c r="AP293" s="152" t="s">
        <v>957</v>
      </c>
      <c r="AQ293" s="152" t="s">
        <v>37</v>
      </c>
      <c r="AR293" s="170">
        <v>44077</v>
      </c>
      <c r="AS293" s="152" t="s">
        <v>37</v>
      </c>
      <c r="AT293" s="361"/>
      <c r="AU293" s="1112"/>
    </row>
    <row r="294" spans="1:47" s="135" customFormat="1" ht="77.25" x14ac:dyDescent="0.25">
      <c r="A294" s="736"/>
      <c r="B294" s="516"/>
      <c r="C294" s="27"/>
      <c r="D294" s="570"/>
      <c r="E294" s="570"/>
      <c r="F294" s="27"/>
      <c r="G294" s="245"/>
      <c r="H294" s="502"/>
      <c r="I294" s="516"/>
      <c r="J294" s="501">
        <v>162</v>
      </c>
      <c r="K294" s="60" t="s">
        <v>945</v>
      </c>
      <c r="L294" s="933">
        <v>2020627.8433000001</v>
      </c>
      <c r="M294" s="933">
        <v>5644465.6266999999</v>
      </c>
      <c r="N294" s="502"/>
      <c r="O294" s="502" t="s">
        <v>948</v>
      </c>
      <c r="P294" s="502" t="s">
        <v>194</v>
      </c>
      <c r="Q294" s="502"/>
      <c r="R294" s="502"/>
      <c r="S294" s="502"/>
      <c r="T294" s="722" t="s">
        <v>950</v>
      </c>
      <c r="U294" s="136" t="s">
        <v>16</v>
      </c>
      <c r="V294" s="136" t="s">
        <v>16</v>
      </c>
      <c r="W294" s="136" t="s">
        <v>16</v>
      </c>
      <c r="X294" s="132" t="s">
        <v>194</v>
      </c>
      <c r="Y294" s="132" t="s">
        <v>952</v>
      </c>
      <c r="Z294" s="137" t="s">
        <v>933</v>
      </c>
      <c r="AA294" s="132">
        <v>1</v>
      </c>
      <c r="AB294" s="132" t="s">
        <v>954</v>
      </c>
      <c r="AC294" s="132">
        <v>125</v>
      </c>
      <c r="AD294" s="136">
        <v>123</v>
      </c>
      <c r="AE294" s="136">
        <v>127</v>
      </c>
      <c r="AF294" s="136"/>
      <c r="AG294" s="136"/>
      <c r="AH294" s="136"/>
      <c r="AI294" s="180" t="s">
        <v>256</v>
      </c>
      <c r="AJ294" s="173"/>
      <c r="AK294" s="173"/>
      <c r="AL294" s="350"/>
      <c r="AM294" s="350"/>
      <c r="AN294" s="45" t="s">
        <v>955</v>
      </c>
      <c r="AO294" s="45" t="s">
        <v>956</v>
      </c>
      <c r="AP294" s="137" t="s">
        <v>957</v>
      </c>
      <c r="AQ294" s="137" t="s">
        <v>37</v>
      </c>
      <c r="AR294" s="139">
        <v>44077</v>
      </c>
      <c r="AS294" s="137" t="s">
        <v>37</v>
      </c>
      <c r="AT294" s="358"/>
      <c r="AU294" s="1110"/>
    </row>
    <row r="295" spans="1:47" s="135" customFormat="1" ht="77.25" x14ac:dyDescent="0.25">
      <c r="A295" s="736"/>
      <c r="B295" s="516"/>
      <c r="C295" s="27"/>
      <c r="D295" s="570"/>
      <c r="E295" s="570"/>
      <c r="F295" s="27"/>
      <c r="G295" s="245"/>
      <c r="H295" s="502"/>
      <c r="I295" s="516"/>
      <c r="J295" s="501">
        <v>163</v>
      </c>
      <c r="K295" s="60" t="s">
        <v>944</v>
      </c>
      <c r="L295" s="933">
        <v>2024750.9210000001</v>
      </c>
      <c r="M295" s="933">
        <v>5655177.5175999999</v>
      </c>
      <c r="N295" s="502"/>
      <c r="O295" s="502" t="s">
        <v>948</v>
      </c>
      <c r="P295" s="502" t="s">
        <v>194</v>
      </c>
      <c r="Q295" s="502"/>
      <c r="R295" s="502"/>
      <c r="S295" s="502"/>
      <c r="T295" s="722" t="s">
        <v>950</v>
      </c>
      <c r="U295" s="136" t="s">
        <v>16</v>
      </c>
      <c r="V295" s="136" t="s">
        <v>16</v>
      </c>
      <c r="W295" s="136" t="s">
        <v>16</v>
      </c>
      <c r="X295" s="132" t="s">
        <v>194</v>
      </c>
      <c r="Y295" s="132" t="s">
        <v>952</v>
      </c>
      <c r="Z295" s="137" t="s">
        <v>933</v>
      </c>
      <c r="AA295" s="132">
        <v>1</v>
      </c>
      <c r="AB295" s="132" t="s">
        <v>954</v>
      </c>
      <c r="AC295" s="132">
        <v>125</v>
      </c>
      <c r="AD295" s="136">
        <v>123</v>
      </c>
      <c r="AE295" s="136">
        <v>127</v>
      </c>
      <c r="AF295" s="136"/>
      <c r="AG295" s="136"/>
      <c r="AH295" s="136"/>
      <c r="AI295" s="180" t="s">
        <v>256</v>
      </c>
      <c r="AJ295" s="173"/>
      <c r="AK295" s="173"/>
      <c r="AL295" s="350"/>
      <c r="AM295" s="350"/>
      <c r="AN295" s="45" t="s">
        <v>955</v>
      </c>
      <c r="AO295" s="45" t="s">
        <v>956</v>
      </c>
      <c r="AP295" s="137" t="s">
        <v>957</v>
      </c>
      <c r="AQ295" s="137" t="s">
        <v>37</v>
      </c>
      <c r="AR295" s="139">
        <v>44077</v>
      </c>
      <c r="AS295" s="137" t="s">
        <v>37</v>
      </c>
      <c r="AT295" s="358"/>
      <c r="AU295" s="1110"/>
    </row>
    <row r="296" spans="1:47" s="135" customFormat="1" ht="78" thickBot="1" x14ac:dyDescent="0.3">
      <c r="A296" s="736"/>
      <c r="B296" s="516"/>
      <c r="C296" s="27"/>
      <c r="D296" s="570"/>
      <c r="E296" s="570"/>
      <c r="F296" s="27"/>
      <c r="G296" s="245"/>
      <c r="H296" s="502"/>
      <c r="I296" s="516"/>
      <c r="J296" s="501">
        <v>164</v>
      </c>
      <c r="K296" s="60" t="s">
        <v>943</v>
      </c>
      <c r="L296" s="933">
        <v>2025180.9694999999</v>
      </c>
      <c r="M296" s="933">
        <v>5659188.4753</v>
      </c>
      <c r="N296" s="502"/>
      <c r="O296" s="502" t="s">
        <v>948</v>
      </c>
      <c r="P296" s="502" t="s">
        <v>194</v>
      </c>
      <c r="Q296" s="502"/>
      <c r="R296" s="502"/>
      <c r="S296" s="502"/>
      <c r="T296" s="722" t="s">
        <v>950</v>
      </c>
      <c r="U296" s="136" t="s">
        <v>16</v>
      </c>
      <c r="V296" s="136" t="s">
        <v>16</v>
      </c>
      <c r="W296" s="136" t="s">
        <v>16</v>
      </c>
      <c r="X296" s="132" t="s">
        <v>194</v>
      </c>
      <c r="Y296" s="132" t="s">
        <v>953</v>
      </c>
      <c r="Z296" s="137" t="s">
        <v>933</v>
      </c>
      <c r="AA296" s="132">
        <v>1</v>
      </c>
      <c r="AB296" s="132" t="s">
        <v>954</v>
      </c>
      <c r="AC296" s="132">
        <v>125</v>
      </c>
      <c r="AD296" s="136">
        <v>123</v>
      </c>
      <c r="AE296" s="136">
        <v>127</v>
      </c>
      <c r="AF296" s="136"/>
      <c r="AG296" s="136"/>
      <c r="AH296" s="136"/>
      <c r="AI296" s="180" t="s">
        <v>256</v>
      </c>
      <c r="AJ296" s="173"/>
      <c r="AK296" s="173"/>
      <c r="AL296" s="350"/>
      <c r="AM296" s="350"/>
      <c r="AN296" s="45" t="s">
        <v>955</v>
      </c>
      <c r="AO296" s="45" t="s">
        <v>956</v>
      </c>
      <c r="AP296" s="137" t="s">
        <v>957</v>
      </c>
      <c r="AQ296" s="137" t="s">
        <v>37</v>
      </c>
      <c r="AR296" s="139">
        <v>44077</v>
      </c>
      <c r="AS296" s="137" t="s">
        <v>37</v>
      </c>
      <c r="AT296" s="358"/>
      <c r="AU296" s="1110"/>
    </row>
    <row r="297" spans="1:47" s="135" customFormat="1" ht="65.25" thickBot="1" x14ac:dyDescent="0.3">
      <c r="A297" s="790"/>
      <c r="B297" s="777"/>
      <c r="C297" s="28"/>
      <c r="D297" s="575"/>
      <c r="E297" s="575"/>
      <c r="F297" s="28"/>
      <c r="G297" s="246"/>
      <c r="H297" s="504"/>
      <c r="I297" s="777"/>
      <c r="J297" s="503">
        <v>165</v>
      </c>
      <c r="K297" s="62" t="s">
        <v>960</v>
      </c>
      <c r="L297" s="923">
        <v>2032398.9797</v>
      </c>
      <c r="M297" s="923">
        <v>5659631.7455000002</v>
      </c>
      <c r="N297" s="504"/>
      <c r="O297" s="504" t="s">
        <v>961</v>
      </c>
      <c r="P297" s="504" t="s">
        <v>194</v>
      </c>
      <c r="Q297" s="504"/>
      <c r="R297" s="504"/>
      <c r="S297" s="504"/>
      <c r="T297" s="725" t="s">
        <v>962</v>
      </c>
      <c r="U297" s="204" t="s">
        <v>16</v>
      </c>
      <c r="V297" s="204" t="s">
        <v>10</v>
      </c>
      <c r="W297" s="204" t="s">
        <v>16</v>
      </c>
      <c r="X297" s="176" t="s">
        <v>194</v>
      </c>
      <c r="Y297" s="176" t="s">
        <v>958</v>
      </c>
      <c r="Z297" s="208" t="s">
        <v>933</v>
      </c>
      <c r="AA297" s="176">
        <v>1</v>
      </c>
      <c r="AB297" s="176" t="s">
        <v>963</v>
      </c>
      <c r="AC297" s="176"/>
      <c r="AD297" s="204">
        <v>3.35</v>
      </c>
      <c r="AE297" s="204">
        <v>3.53</v>
      </c>
      <c r="AF297" s="204"/>
      <c r="AG297" s="204"/>
      <c r="AH297" s="204"/>
      <c r="AI297" s="207" t="s">
        <v>549</v>
      </c>
      <c r="AJ297" s="205"/>
      <c r="AK297" s="205"/>
      <c r="AL297" s="353"/>
      <c r="AM297" s="353"/>
      <c r="AN297" s="94" t="s">
        <v>964</v>
      </c>
      <c r="AO297" s="94" t="s">
        <v>965</v>
      </c>
      <c r="AP297" s="208" t="s">
        <v>959</v>
      </c>
      <c r="AQ297" s="208" t="s">
        <v>37</v>
      </c>
      <c r="AR297" s="209">
        <v>44077</v>
      </c>
      <c r="AS297" s="208" t="s">
        <v>37</v>
      </c>
      <c r="AT297" s="364"/>
      <c r="AU297" s="1109"/>
    </row>
    <row r="298" spans="1:47" s="135" customFormat="1" ht="51.75" x14ac:dyDescent="0.25">
      <c r="A298" s="341" t="s">
        <v>2101</v>
      </c>
      <c r="B298" s="181" t="s">
        <v>2101</v>
      </c>
      <c r="C298" s="125">
        <v>674</v>
      </c>
      <c r="D298" s="585" t="s">
        <v>52</v>
      </c>
      <c r="E298" s="585" t="s">
        <v>53</v>
      </c>
      <c r="F298" s="125" t="s">
        <v>4679</v>
      </c>
      <c r="G298" s="145" t="s">
        <v>1263</v>
      </c>
      <c r="H298" s="126" t="s">
        <v>5487</v>
      </c>
      <c r="I298" s="181" t="s">
        <v>5303</v>
      </c>
      <c r="J298" s="189">
        <v>286</v>
      </c>
      <c r="K298" s="355" t="s">
        <v>2102</v>
      </c>
      <c r="L298" s="911">
        <v>1539989.8918999999</v>
      </c>
      <c r="M298" s="911">
        <v>5228531.5482999999</v>
      </c>
      <c r="N298" s="126"/>
      <c r="O298" s="126" t="s">
        <v>2105</v>
      </c>
      <c r="P298" s="126" t="s">
        <v>193</v>
      </c>
      <c r="Q298" s="126"/>
      <c r="R298" s="126"/>
      <c r="S298" s="126"/>
      <c r="T298" s="344" t="s">
        <v>2110</v>
      </c>
      <c r="U298" s="169" t="s">
        <v>16</v>
      </c>
      <c r="V298" s="151" t="s">
        <v>16</v>
      </c>
      <c r="W298" s="151" t="s">
        <v>16</v>
      </c>
      <c r="X298" s="153" t="s">
        <v>193</v>
      </c>
      <c r="Y298" s="153" t="s">
        <v>2107</v>
      </c>
      <c r="Z298" s="152" t="s">
        <v>289</v>
      </c>
      <c r="AA298" s="153">
        <v>1</v>
      </c>
      <c r="AB298" s="153" t="s">
        <v>2108</v>
      </c>
      <c r="AC298" s="151">
        <v>21.6</v>
      </c>
      <c r="AD298" s="151">
        <f>AC298-2.3</f>
        <v>19.3</v>
      </c>
      <c r="AE298" s="151">
        <f>AC298+2.3</f>
        <v>23.900000000000002</v>
      </c>
      <c r="AF298" s="151"/>
      <c r="AG298" s="151"/>
      <c r="AH298" s="151"/>
      <c r="AI298" s="203" t="s">
        <v>23</v>
      </c>
      <c r="AJ298" s="202"/>
      <c r="AK298" s="202"/>
      <c r="AL298" s="442"/>
      <c r="AM298" s="442"/>
      <c r="AN298" s="30" t="s">
        <v>2109</v>
      </c>
      <c r="AO298" s="30" t="s">
        <v>2111</v>
      </c>
      <c r="AP298" s="152" t="s">
        <v>2106</v>
      </c>
      <c r="AQ298" s="152" t="s">
        <v>37</v>
      </c>
      <c r="AR298" s="170">
        <v>44111</v>
      </c>
      <c r="AS298" s="152" t="s">
        <v>37</v>
      </c>
      <c r="AT298" s="361"/>
      <c r="AU298" s="1112"/>
    </row>
    <row r="299" spans="1:47" s="135" customFormat="1" ht="52.5" thickBot="1" x14ac:dyDescent="0.3">
      <c r="A299" s="336"/>
      <c r="B299" s="196"/>
      <c r="C299" s="96"/>
      <c r="D299" s="566"/>
      <c r="E299" s="566"/>
      <c r="F299" s="96"/>
      <c r="G299" s="147"/>
      <c r="H299" s="107"/>
      <c r="I299" s="123"/>
      <c r="J299" s="190">
        <v>287</v>
      </c>
      <c r="K299" s="357" t="s">
        <v>2103</v>
      </c>
      <c r="L299" s="912">
        <v>1539996.5064999999</v>
      </c>
      <c r="M299" s="912">
        <v>5228542.4623999996</v>
      </c>
      <c r="N299" s="107"/>
      <c r="O299" s="107">
        <v>0.4</v>
      </c>
      <c r="P299" s="107" t="s">
        <v>194</v>
      </c>
      <c r="Q299" s="107"/>
      <c r="R299" s="107"/>
      <c r="S299" s="107"/>
      <c r="T299" s="127" t="s">
        <v>1274</v>
      </c>
      <c r="U299" s="171" t="s">
        <v>10</v>
      </c>
      <c r="V299" s="154" t="s">
        <v>16</v>
      </c>
      <c r="W299" s="154" t="s">
        <v>16</v>
      </c>
      <c r="X299" s="156" t="s">
        <v>194</v>
      </c>
      <c r="Y299" s="156">
        <v>8.5</v>
      </c>
      <c r="Z299" s="155" t="s">
        <v>289</v>
      </c>
      <c r="AA299" s="156">
        <v>1</v>
      </c>
      <c r="AB299" s="156" t="s">
        <v>2108</v>
      </c>
      <c r="AC299" s="154">
        <v>21.6</v>
      </c>
      <c r="AD299" s="154">
        <f>AC299-2.3</f>
        <v>19.3</v>
      </c>
      <c r="AE299" s="154">
        <f>AC299+2.3</f>
        <v>23.900000000000002</v>
      </c>
      <c r="AF299" s="154"/>
      <c r="AG299" s="154"/>
      <c r="AH299" s="154"/>
      <c r="AI299" s="183" t="s">
        <v>23</v>
      </c>
      <c r="AJ299" s="201"/>
      <c r="AK299" s="201"/>
      <c r="AL299" s="443"/>
      <c r="AM299" s="443"/>
      <c r="AN299" s="51" t="s">
        <v>2112</v>
      </c>
      <c r="AO299" s="51" t="s">
        <v>2111</v>
      </c>
      <c r="AP299" s="155" t="s">
        <v>2106</v>
      </c>
      <c r="AQ299" s="155" t="s">
        <v>37</v>
      </c>
      <c r="AR299" s="172">
        <v>44111</v>
      </c>
      <c r="AS299" s="155" t="s">
        <v>37</v>
      </c>
      <c r="AT299" s="362"/>
      <c r="AU299" s="1111"/>
    </row>
    <row r="300" spans="1:47" s="464" customFormat="1" ht="39.75" thickBot="1" x14ac:dyDescent="0.3">
      <c r="A300" s="345" t="s">
        <v>3487</v>
      </c>
      <c r="B300" s="331" t="s">
        <v>3487</v>
      </c>
      <c r="C300" s="83">
        <v>495</v>
      </c>
      <c r="D300" s="588" t="s">
        <v>52</v>
      </c>
      <c r="E300" s="588" t="s">
        <v>53</v>
      </c>
      <c r="F300" s="83" t="s">
        <v>668</v>
      </c>
      <c r="G300" s="83" t="s">
        <v>4987</v>
      </c>
      <c r="H300" s="199" t="s">
        <v>2277</v>
      </c>
      <c r="I300" s="395" t="s">
        <v>5591</v>
      </c>
      <c r="J300" s="87">
        <v>2105</v>
      </c>
      <c r="K300" s="360" t="s">
        <v>3486</v>
      </c>
      <c r="L300" s="907">
        <v>1794541.6555000001</v>
      </c>
      <c r="M300" s="907">
        <v>5503965.8854999999</v>
      </c>
      <c r="N300" s="199"/>
      <c r="O300" s="199" t="s">
        <v>3468</v>
      </c>
      <c r="P300" s="199" t="s">
        <v>194</v>
      </c>
      <c r="Q300" s="301"/>
      <c r="R300" s="301"/>
      <c r="S300" s="301"/>
      <c r="T300" s="300" t="s">
        <v>2277</v>
      </c>
      <c r="U300" s="294" t="s">
        <v>10</v>
      </c>
      <c r="V300" s="197" t="s">
        <v>16</v>
      </c>
      <c r="W300" s="197" t="s">
        <v>85</v>
      </c>
      <c r="X300" s="197" t="s">
        <v>194</v>
      </c>
      <c r="Y300" s="307" t="s">
        <v>1609</v>
      </c>
      <c r="Z300" s="92" t="s">
        <v>3485</v>
      </c>
      <c r="AA300" s="197">
        <v>1</v>
      </c>
      <c r="AB300" s="307" t="s">
        <v>3484</v>
      </c>
      <c r="AC300" s="197">
        <v>128</v>
      </c>
      <c r="AD300" s="197"/>
      <c r="AE300" s="197"/>
      <c r="AF300" s="197">
        <v>71</v>
      </c>
      <c r="AG300" s="197"/>
      <c r="AH300" s="197"/>
      <c r="AI300" s="207" t="s">
        <v>256</v>
      </c>
      <c r="AJ300" s="197" t="s">
        <v>13</v>
      </c>
      <c r="AK300" s="197"/>
      <c r="AL300" s="197"/>
      <c r="AM300" s="197"/>
      <c r="AN300" s="94" t="s">
        <v>5703</v>
      </c>
      <c r="AO300" s="292" t="s">
        <v>3483</v>
      </c>
      <c r="AP300" s="92" t="s">
        <v>6924</v>
      </c>
      <c r="AQ300" s="92" t="s">
        <v>3457</v>
      </c>
      <c r="AR300" s="93">
        <v>44131</v>
      </c>
      <c r="AS300" s="92" t="s">
        <v>3457</v>
      </c>
      <c r="AT300" s="292"/>
      <c r="AU300" s="290"/>
    </row>
    <row r="301" spans="1:47" s="8" customFormat="1" ht="65.25" thickBot="1" x14ac:dyDescent="0.3">
      <c r="A301" s="1041" t="s">
        <v>2221</v>
      </c>
      <c r="B301" s="589" t="s">
        <v>2221</v>
      </c>
      <c r="C301" s="110">
        <v>569</v>
      </c>
      <c r="D301" s="589" t="s">
        <v>52</v>
      </c>
      <c r="E301" s="589"/>
      <c r="F301" s="296" t="s">
        <v>2002</v>
      </c>
      <c r="G301" s="149" t="s">
        <v>1263</v>
      </c>
      <c r="H301" s="296" t="s">
        <v>2688</v>
      </c>
      <c r="I301" s="625" t="s">
        <v>5488</v>
      </c>
      <c r="J301" s="476">
        <v>1208</v>
      </c>
      <c r="K301" s="449" t="s">
        <v>2221</v>
      </c>
      <c r="L301" s="908">
        <v>1700723.0996000001</v>
      </c>
      <c r="M301" s="908">
        <v>5377945.1222999999</v>
      </c>
      <c r="N301" s="296"/>
      <c r="O301" s="296" t="s">
        <v>1889</v>
      </c>
      <c r="P301" s="296" t="s">
        <v>194</v>
      </c>
      <c r="Q301" s="296">
        <v>0.4</v>
      </c>
      <c r="R301" s="296"/>
      <c r="S301" s="296"/>
      <c r="T301" s="295" t="s">
        <v>1889</v>
      </c>
      <c r="U301" s="314" t="s">
        <v>1481</v>
      </c>
      <c r="V301" s="293" t="s">
        <v>1481</v>
      </c>
      <c r="W301" s="293" t="s">
        <v>1481</v>
      </c>
      <c r="X301" s="293" t="s">
        <v>194</v>
      </c>
      <c r="Y301" s="293" t="s">
        <v>2222</v>
      </c>
      <c r="Z301" s="342" t="s">
        <v>5055</v>
      </c>
      <c r="AA301" s="293"/>
      <c r="AB301" s="293" t="s">
        <v>2223</v>
      </c>
      <c r="AC301" s="293"/>
      <c r="AD301" s="293"/>
      <c r="AE301" s="293">
        <v>5000</v>
      </c>
      <c r="AF301" s="293"/>
      <c r="AG301" s="293"/>
      <c r="AH301" s="293"/>
      <c r="AI301" s="292" t="s">
        <v>256</v>
      </c>
      <c r="AJ301" s="293"/>
      <c r="AK301" s="293"/>
      <c r="AL301" s="293"/>
      <c r="AM301" s="293"/>
      <c r="AN301" s="292" t="s">
        <v>2224</v>
      </c>
      <c r="AO301" s="292" t="s">
        <v>2225</v>
      </c>
      <c r="AP301" s="292" t="s">
        <v>6934</v>
      </c>
      <c r="AQ301" s="292" t="s">
        <v>1380</v>
      </c>
      <c r="AR301" s="291">
        <v>44098</v>
      </c>
      <c r="AS301" s="292" t="s">
        <v>1380</v>
      </c>
      <c r="AT301" s="291">
        <v>44105</v>
      </c>
      <c r="AU301" s="290" t="s">
        <v>37</v>
      </c>
    </row>
    <row r="302" spans="1:47" s="135" customFormat="1" ht="78" thickBot="1" x14ac:dyDescent="0.3">
      <c r="A302" s="648" t="s">
        <v>1158</v>
      </c>
      <c r="B302" s="598" t="s">
        <v>1158</v>
      </c>
      <c r="C302" s="248">
        <v>210</v>
      </c>
      <c r="D302" s="595" t="s">
        <v>57</v>
      </c>
      <c r="E302" s="595"/>
      <c r="F302" s="248" t="s">
        <v>668</v>
      </c>
      <c r="G302" s="249" t="s">
        <v>1238</v>
      </c>
      <c r="H302" s="426" t="s">
        <v>1160</v>
      </c>
      <c r="I302" s="634" t="s">
        <v>5489</v>
      </c>
      <c r="J302" s="425">
        <v>212</v>
      </c>
      <c r="K302" s="472" t="s">
        <v>1159</v>
      </c>
      <c r="L302" s="934">
        <v>1882093.5448</v>
      </c>
      <c r="M302" s="934">
        <v>5756028.9826999996</v>
      </c>
      <c r="N302" s="426"/>
      <c r="O302" s="426" t="s">
        <v>1339</v>
      </c>
      <c r="P302" s="426" t="s">
        <v>194</v>
      </c>
      <c r="Q302" s="426"/>
      <c r="R302" s="426"/>
      <c r="S302" s="426"/>
      <c r="T302" s="481" t="s">
        <v>1160</v>
      </c>
      <c r="U302" s="169" t="s">
        <v>16</v>
      </c>
      <c r="V302" s="151" t="s">
        <v>16</v>
      </c>
      <c r="W302" s="151" t="s">
        <v>16</v>
      </c>
      <c r="X302" s="153" t="s">
        <v>194</v>
      </c>
      <c r="Y302" s="153" t="s">
        <v>1161</v>
      </c>
      <c r="Z302" s="152" t="s">
        <v>1162</v>
      </c>
      <c r="AA302" s="153">
        <v>1</v>
      </c>
      <c r="AB302" s="153" t="s">
        <v>1163</v>
      </c>
      <c r="AC302" s="151">
        <v>20</v>
      </c>
      <c r="AD302" s="151">
        <v>18</v>
      </c>
      <c r="AE302" s="151">
        <v>22</v>
      </c>
      <c r="AF302" s="151"/>
      <c r="AG302" s="151"/>
      <c r="AH302" s="151"/>
      <c r="AI302" s="203" t="s">
        <v>256</v>
      </c>
      <c r="AJ302" s="202"/>
      <c r="AK302" s="202"/>
      <c r="AL302" s="442"/>
      <c r="AM302" s="442"/>
      <c r="AN302" s="30" t="s">
        <v>1164</v>
      </c>
      <c r="AO302" s="30" t="s">
        <v>1354</v>
      </c>
      <c r="AP302" s="152" t="s">
        <v>1165</v>
      </c>
      <c r="AQ302" s="152" t="s">
        <v>37</v>
      </c>
      <c r="AR302" s="170">
        <v>44091</v>
      </c>
      <c r="AS302" s="152" t="s">
        <v>37</v>
      </c>
      <c r="AT302" s="361"/>
      <c r="AU302" s="1112"/>
    </row>
    <row r="303" spans="1:47" s="551" customFormat="1" ht="64.5" x14ac:dyDescent="0.25">
      <c r="A303" s="341" t="s">
        <v>5946</v>
      </c>
      <c r="B303" s="181" t="s">
        <v>5946</v>
      </c>
      <c r="C303" s="125">
        <v>188</v>
      </c>
      <c r="D303" s="585" t="s">
        <v>57</v>
      </c>
      <c r="E303" s="585"/>
      <c r="F303" s="125" t="s">
        <v>4679</v>
      </c>
      <c r="G303" s="145" t="s">
        <v>1238</v>
      </c>
      <c r="H303" s="126" t="s">
        <v>6846</v>
      </c>
      <c r="I303" s="247" t="s">
        <v>6273</v>
      </c>
      <c r="J303" s="189">
        <v>882</v>
      </c>
      <c r="K303" s="355" t="s">
        <v>6777</v>
      </c>
      <c r="L303" s="911">
        <v>1919708.8696000001</v>
      </c>
      <c r="M303" s="911">
        <v>5788530.9349999996</v>
      </c>
      <c r="N303" s="126"/>
      <c r="O303" s="126">
        <v>0.67</v>
      </c>
      <c r="P303" s="126" t="s">
        <v>194</v>
      </c>
      <c r="Q303" s="126"/>
      <c r="R303" s="126"/>
      <c r="S303" s="126" t="s">
        <v>6132</v>
      </c>
      <c r="T303" s="126" t="s">
        <v>6134</v>
      </c>
      <c r="U303" s="169" t="s">
        <v>10</v>
      </c>
      <c r="V303" s="151" t="s">
        <v>16</v>
      </c>
      <c r="W303" s="151" t="s">
        <v>16</v>
      </c>
      <c r="X303" s="153" t="s">
        <v>194</v>
      </c>
      <c r="Y303" s="153" t="s">
        <v>6136</v>
      </c>
      <c r="Z303" s="152" t="s">
        <v>6169</v>
      </c>
      <c r="AA303" s="153">
        <v>1</v>
      </c>
      <c r="AB303" s="153" t="s">
        <v>6138</v>
      </c>
      <c r="AC303" s="151">
        <v>9</v>
      </c>
      <c r="AD303" s="151">
        <v>8.9</v>
      </c>
      <c r="AE303" s="151">
        <v>9.1</v>
      </c>
      <c r="AF303" s="151"/>
      <c r="AG303" s="151"/>
      <c r="AH303" s="151"/>
      <c r="AI303" s="203" t="s">
        <v>256</v>
      </c>
      <c r="AJ303" s="202"/>
      <c r="AK303" s="202"/>
      <c r="AL303" s="442"/>
      <c r="AM303" s="442"/>
      <c r="AN303" s="203" t="s">
        <v>6084</v>
      </c>
      <c r="AO303" s="203" t="s">
        <v>6139</v>
      </c>
      <c r="AP303" s="152" t="s">
        <v>6776</v>
      </c>
      <c r="AQ303" s="152" t="s">
        <v>37</v>
      </c>
      <c r="AR303" s="170">
        <v>44316</v>
      </c>
      <c r="AS303" s="152" t="s">
        <v>37</v>
      </c>
      <c r="AT303" s="361"/>
      <c r="AU303" s="1112"/>
    </row>
    <row r="304" spans="1:47" s="551" customFormat="1" ht="39.75" thickBot="1" x14ac:dyDescent="0.3">
      <c r="A304" s="336"/>
      <c r="B304" s="196"/>
      <c r="C304" s="96"/>
      <c r="D304" s="566"/>
      <c r="E304" s="566"/>
      <c r="F304" s="96"/>
      <c r="G304" s="147"/>
      <c r="H304" s="107"/>
      <c r="I304" s="123"/>
      <c r="J304" s="190">
        <v>883</v>
      </c>
      <c r="K304" s="357" t="s">
        <v>6778</v>
      </c>
      <c r="L304" s="912">
        <v>1919257.6967</v>
      </c>
      <c r="M304" s="912">
        <v>5787957.8748000003</v>
      </c>
      <c r="N304" s="107"/>
      <c r="O304" s="107">
        <v>0.39</v>
      </c>
      <c r="P304" s="107" t="s">
        <v>194</v>
      </c>
      <c r="Q304" s="107"/>
      <c r="R304" s="107"/>
      <c r="S304" s="107" t="s">
        <v>6133</v>
      </c>
      <c r="T304" s="107" t="s">
        <v>6135</v>
      </c>
      <c r="U304" s="171" t="s">
        <v>10</v>
      </c>
      <c r="V304" s="154" t="s">
        <v>16</v>
      </c>
      <c r="W304" s="154" t="s">
        <v>16</v>
      </c>
      <c r="X304" s="156" t="s">
        <v>194</v>
      </c>
      <c r="Y304" s="156" t="s">
        <v>6137</v>
      </c>
      <c r="Z304" s="155" t="s">
        <v>6169</v>
      </c>
      <c r="AA304" s="156">
        <v>1</v>
      </c>
      <c r="AB304" s="156" t="s">
        <v>6138</v>
      </c>
      <c r="AC304" s="154">
        <v>9</v>
      </c>
      <c r="AD304" s="154">
        <v>8.9</v>
      </c>
      <c r="AE304" s="154">
        <v>9.1</v>
      </c>
      <c r="AF304" s="154"/>
      <c r="AG304" s="154"/>
      <c r="AH304" s="154"/>
      <c r="AI304" s="183" t="s">
        <v>256</v>
      </c>
      <c r="AJ304" s="201"/>
      <c r="AK304" s="201"/>
      <c r="AL304" s="443"/>
      <c r="AM304" s="443"/>
      <c r="AN304" s="183" t="s">
        <v>6084</v>
      </c>
      <c r="AO304" s="183" t="s">
        <v>6139</v>
      </c>
      <c r="AP304" s="155" t="s">
        <v>6776</v>
      </c>
      <c r="AQ304" s="155" t="s">
        <v>37</v>
      </c>
      <c r="AR304" s="172">
        <v>44316</v>
      </c>
      <c r="AS304" s="155" t="s">
        <v>37</v>
      </c>
      <c r="AT304" s="362"/>
      <c r="AU304" s="1111"/>
    </row>
    <row r="305" spans="1:47" s="211" customFormat="1" ht="39.75" thickBot="1" x14ac:dyDescent="0.3">
      <c r="A305" s="648" t="s">
        <v>6287</v>
      </c>
      <c r="B305" s="598" t="s">
        <v>6287</v>
      </c>
      <c r="C305" s="248">
        <v>197</v>
      </c>
      <c r="D305" s="595" t="s">
        <v>57</v>
      </c>
      <c r="E305" s="595"/>
      <c r="F305" s="248" t="s">
        <v>4679</v>
      </c>
      <c r="G305" s="249" t="s">
        <v>1238</v>
      </c>
      <c r="H305" s="426" t="s">
        <v>5882</v>
      </c>
      <c r="I305" s="634" t="s">
        <v>5879</v>
      </c>
      <c r="J305" s="425">
        <v>895</v>
      </c>
      <c r="K305" s="472" t="s">
        <v>6288</v>
      </c>
      <c r="L305" s="934">
        <v>1908992.838</v>
      </c>
      <c r="M305" s="934">
        <v>5773778.9971000003</v>
      </c>
      <c r="N305" s="426"/>
      <c r="O305" s="426" t="s">
        <v>5882</v>
      </c>
      <c r="P305" s="426" t="s">
        <v>193</v>
      </c>
      <c r="Q305" s="426"/>
      <c r="R305" s="426"/>
      <c r="S305" s="426"/>
      <c r="T305" s="481" t="s">
        <v>5882</v>
      </c>
      <c r="U305" s="169" t="s">
        <v>10</v>
      </c>
      <c r="V305" s="151" t="s">
        <v>16</v>
      </c>
      <c r="W305" s="151" t="s">
        <v>16</v>
      </c>
      <c r="X305" s="153" t="s">
        <v>194</v>
      </c>
      <c r="Y305" s="153" t="s">
        <v>6173</v>
      </c>
      <c r="Z305" s="152" t="s">
        <v>6171</v>
      </c>
      <c r="AA305" s="153">
        <v>1</v>
      </c>
      <c r="AB305" s="153" t="s">
        <v>6172</v>
      </c>
      <c r="AC305" s="151">
        <v>437</v>
      </c>
      <c r="AD305" s="151">
        <v>428</v>
      </c>
      <c r="AE305" s="151">
        <v>446</v>
      </c>
      <c r="AF305" s="151"/>
      <c r="AG305" s="151"/>
      <c r="AH305" s="151"/>
      <c r="AI305" s="203" t="s">
        <v>256</v>
      </c>
      <c r="AJ305" s="202"/>
      <c r="AK305" s="202"/>
      <c r="AL305" s="442"/>
      <c r="AM305" s="442"/>
      <c r="AN305" s="203" t="s">
        <v>6084</v>
      </c>
      <c r="AO305" s="203" t="s">
        <v>6289</v>
      </c>
      <c r="AP305" s="152" t="s">
        <v>6121</v>
      </c>
      <c r="AQ305" s="152" t="s">
        <v>37</v>
      </c>
      <c r="AR305" s="170">
        <v>44316</v>
      </c>
      <c r="AS305" s="152" t="s">
        <v>37</v>
      </c>
      <c r="AT305" s="361"/>
      <c r="AU305" s="1112"/>
    </row>
    <row r="306" spans="1:47" ht="27" thickBot="1" x14ac:dyDescent="0.3">
      <c r="A306" s="1036" t="s">
        <v>5222</v>
      </c>
      <c r="B306" s="537" t="s">
        <v>6791</v>
      </c>
      <c r="C306" s="210" t="s">
        <v>2156</v>
      </c>
      <c r="D306" s="587" t="s">
        <v>2156</v>
      </c>
      <c r="E306" s="587" t="s">
        <v>2156</v>
      </c>
      <c r="F306" s="210" t="s">
        <v>2156</v>
      </c>
      <c r="G306" s="1027" t="s">
        <v>2156</v>
      </c>
      <c r="H306" s="264" t="s">
        <v>2156</v>
      </c>
      <c r="I306" s="637" t="s">
        <v>2156</v>
      </c>
      <c r="J306" s="263">
        <v>2315</v>
      </c>
      <c r="K306" s="467" t="s">
        <v>5222</v>
      </c>
      <c r="L306" s="922">
        <v>1832625.2193</v>
      </c>
      <c r="M306" s="922">
        <v>5491724.5783000002</v>
      </c>
      <c r="N306" s="264">
        <v>50</v>
      </c>
      <c r="O306" s="264" t="s">
        <v>5223</v>
      </c>
      <c r="P306" s="264" t="s">
        <v>2047</v>
      </c>
      <c r="Q306" s="455"/>
      <c r="R306" s="455"/>
      <c r="S306" s="455"/>
      <c r="T306" s="457" t="s">
        <v>5705</v>
      </c>
      <c r="U306" s="294" t="s">
        <v>16</v>
      </c>
      <c r="V306" s="197" t="s">
        <v>85</v>
      </c>
      <c r="W306" s="86" t="s">
        <v>16</v>
      </c>
      <c r="X306" s="197" t="s">
        <v>61</v>
      </c>
      <c r="Y306" s="307" t="s">
        <v>5224</v>
      </c>
      <c r="Z306" s="92" t="s">
        <v>798</v>
      </c>
      <c r="AA306" s="197">
        <v>2</v>
      </c>
      <c r="AB306" s="307" t="s">
        <v>5156</v>
      </c>
      <c r="AC306" s="197">
        <v>12</v>
      </c>
      <c r="AD306" s="197"/>
      <c r="AE306" s="197"/>
      <c r="AF306" s="197">
        <v>10</v>
      </c>
      <c r="AG306" s="197"/>
      <c r="AH306" s="197"/>
      <c r="AI306" s="94" t="s">
        <v>256</v>
      </c>
      <c r="AJ306" s="197" t="s">
        <v>3459</v>
      </c>
      <c r="AK306" s="197"/>
      <c r="AL306" s="197"/>
      <c r="AM306" s="197"/>
      <c r="AN306" s="94" t="s">
        <v>5706</v>
      </c>
      <c r="AO306" s="292" t="s">
        <v>5699</v>
      </c>
      <c r="AP306" s="92" t="s">
        <v>1462</v>
      </c>
      <c r="AQ306" s="92" t="s">
        <v>3457</v>
      </c>
      <c r="AR306" s="93">
        <v>44243</v>
      </c>
      <c r="AS306" s="92" t="s">
        <v>3457</v>
      </c>
      <c r="AT306" s="291">
        <v>44267</v>
      </c>
      <c r="AU306" s="290" t="s">
        <v>37</v>
      </c>
    </row>
    <row r="307" spans="1:47" s="135" customFormat="1" ht="39.75" thickBot="1" x14ac:dyDescent="0.3">
      <c r="A307" s="334" t="s">
        <v>3282</v>
      </c>
      <c r="B307" s="333" t="s">
        <v>3282</v>
      </c>
      <c r="C307" s="84">
        <v>4</v>
      </c>
      <c r="D307" s="591" t="s">
        <v>57</v>
      </c>
      <c r="E307" s="591"/>
      <c r="F307" s="84" t="s">
        <v>1553</v>
      </c>
      <c r="G307" s="149" t="s">
        <v>1238</v>
      </c>
      <c r="H307" s="109" t="s">
        <v>3317</v>
      </c>
      <c r="I307" s="625" t="s">
        <v>5490</v>
      </c>
      <c r="J307" s="89">
        <v>502</v>
      </c>
      <c r="K307" s="396" t="s">
        <v>3316</v>
      </c>
      <c r="L307" s="265">
        <v>1797788.8073</v>
      </c>
      <c r="M307" s="265">
        <v>5888476.8841000004</v>
      </c>
      <c r="N307" s="109"/>
      <c r="O307" s="109" t="s">
        <v>3317</v>
      </c>
      <c r="P307" s="109" t="s">
        <v>193</v>
      </c>
      <c r="Q307" s="109"/>
      <c r="R307" s="109"/>
      <c r="S307" s="109"/>
      <c r="T307" s="343" t="s">
        <v>3317</v>
      </c>
      <c r="U307" s="206" t="s">
        <v>16</v>
      </c>
      <c r="V307" s="204" t="s">
        <v>16</v>
      </c>
      <c r="W307" s="204" t="s">
        <v>16</v>
      </c>
      <c r="X307" s="176" t="s">
        <v>194</v>
      </c>
      <c r="Y307" s="243" t="s">
        <v>834</v>
      </c>
      <c r="Z307" s="208" t="s">
        <v>289</v>
      </c>
      <c r="AA307" s="176">
        <v>1</v>
      </c>
      <c r="AB307" s="176" t="s">
        <v>3318</v>
      </c>
      <c r="AC307" s="204"/>
      <c r="AD307" s="204">
        <v>20</v>
      </c>
      <c r="AE307" s="204">
        <v>125</v>
      </c>
      <c r="AF307" s="204"/>
      <c r="AG307" s="204"/>
      <c r="AH307" s="204"/>
      <c r="AI307" s="207" t="s">
        <v>256</v>
      </c>
      <c r="AJ307" s="205"/>
      <c r="AK307" s="205"/>
      <c r="AL307" s="353"/>
      <c r="AM307" s="353"/>
      <c r="AN307" s="207" t="s">
        <v>3292</v>
      </c>
      <c r="AO307" s="207" t="s">
        <v>3315</v>
      </c>
      <c r="AP307" s="374" t="s">
        <v>3297</v>
      </c>
      <c r="AQ307" s="374" t="s">
        <v>37</v>
      </c>
      <c r="AR307" s="377">
        <v>44140</v>
      </c>
      <c r="AS307" s="374" t="s">
        <v>37</v>
      </c>
      <c r="AT307" s="364"/>
      <c r="AU307" s="1109"/>
    </row>
    <row r="308" spans="1:47" ht="52.5" thickBot="1" x14ac:dyDescent="0.3">
      <c r="A308" s="807" t="s">
        <v>5193</v>
      </c>
      <c r="B308" s="349" t="s">
        <v>5644</v>
      </c>
      <c r="C308" s="157">
        <v>309</v>
      </c>
      <c r="D308" s="592" t="s">
        <v>53</v>
      </c>
      <c r="E308" s="592" t="s">
        <v>52</v>
      </c>
      <c r="F308" s="157" t="s">
        <v>906</v>
      </c>
      <c r="G308" s="157" t="s">
        <v>5195</v>
      </c>
      <c r="H308" s="159" t="s">
        <v>5064</v>
      </c>
      <c r="I308" s="450" t="s">
        <v>5585</v>
      </c>
      <c r="J308" s="248">
        <v>2351</v>
      </c>
      <c r="K308" s="472" t="s">
        <v>5196</v>
      </c>
      <c r="L308" s="934">
        <v>1879267.0303</v>
      </c>
      <c r="M308" s="934">
        <v>5543036.6825999999</v>
      </c>
      <c r="N308" s="426">
        <v>38</v>
      </c>
      <c r="O308" s="426" t="s">
        <v>5197</v>
      </c>
      <c r="P308" s="248" t="s">
        <v>5</v>
      </c>
      <c r="Q308" s="426"/>
      <c r="R308" s="426"/>
      <c r="S308" s="426"/>
      <c r="T308" s="481" t="s">
        <v>5707</v>
      </c>
      <c r="U308" s="85" t="s">
        <v>16</v>
      </c>
      <c r="V308" s="86" t="s">
        <v>85</v>
      </c>
      <c r="W308" s="86" t="s">
        <v>16</v>
      </c>
      <c r="X308" s="197" t="s">
        <v>17</v>
      </c>
      <c r="Y308" s="329" t="s">
        <v>5198</v>
      </c>
      <c r="Z308" s="92" t="s">
        <v>402</v>
      </c>
      <c r="AA308" s="86">
        <v>2</v>
      </c>
      <c r="AB308" s="106" t="s">
        <v>5156</v>
      </c>
      <c r="AC308" s="86">
        <v>12</v>
      </c>
      <c r="AD308" s="86"/>
      <c r="AE308" s="86"/>
      <c r="AF308" s="86">
        <v>10</v>
      </c>
      <c r="AG308" s="387"/>
      <c r="AH308" s="387"/>
      <c r="AI308" s="94" t="s">
        <v>256</v>
      </c>
      <c r="AJ308" s="86" t="s">
        <v>3459</v>
      </c>
      <c r="AK308" s="86"/>
      <c r="AL308" s="387"/>
      <c r="AM308" s="387"/>
      <c r="AN308" s="92" t="s">
        <v>5709</v>
      </c>
      <c r="AO308" s="292" t="s">
        <v>5699</v>
      </c>
      <c r="AP308" s="92" t="s">
        <v>1462</v>
      </c>
      <c r="AQ308" s="92" t="s">
        <v>3457</v>
      </c>
      <c r="AR308" s="93">
        <v>44243</v>
      </c>
      <c r="AS308" s="92" t="s">
        <v>3457</v>
      </c>
      <c r="AT308" s="93">
        <v>44267</v>
      </c>
      <c r="AU308" s="1108" t="s">
        <v>37</v>
      </c>
    </row>
    <row r="309" spans="1:47" ht="52.5" thickBot="1" x14ac:dyDescent="0.3">
      <c r="A309" s="808"/>
      <c r="B309" s="550"/>
      <c r="C309" s="161"/>
      <c r="D309" s="573"/>
      <c r="E309" s="573"/>
      <c r="F309" s="161"/>
      <c r="G309" s="161"/>
      <c r="H309" s="163"/>
      <c r="I309" s="423"/>
      <c r="J309" s="165">
        <v>2352</v>
      </c>
      <c r="K309" s="435" t="s">
        <v>5199</v>
      </c>
      <c r="L309" s="925">
        <v>1878261.6102</v>
      </c>
      <c r="M309" s="925">
        <v>5541544.6253000004</v>
      </c>
      <c r="N309" s="167">
        <v>35</v>
      </c>
      <c r="O309" s="167" t="s">
        <v>5200</v>
      </c>
      <c r="P309" s="165" t="s">
        <v>194</v>
      </c>
      <c r="Q309" s="167"/>
      <c r="R309" s="167"/>
      <c r="S309" s="167"/>
      <c r="T309" s="200" t="s">
        <v>5201</v>
      </c>
      <c r="U309" s="85" t="s">
        <v>16</v>
      </c>
      <c r="V309" s="86" t="s">
        <v>85</v>
      </c>
      <c r="W309" s="86" t="s">
        <v>16</v>
      </c>
      <c r="X309" s="86" t="s">
        <v>194</v>
      </c>
      <c r="Y309" s="106" t="s">
        <v>5202</v>
      </c>
      <c r="Z309" s="92" t="s">
        <v>5708</v>
      </c>
      <c r="AA309" s="86">
        <v>2</v>
      </c>
      <c r="AB309" s="106" t="s">
        <v>5156</v>
      </c>
      <c r="AC309" s="86">
        <v>12</v>
      </c>
      <c r="AD309" s="86"/>
      <c r="AE309" s="86"/>
      <c r="AF309" s="86">
        <v>10</v>
      </c>
      <c r="AG309" s="387"/>
      <c r="AH309" s="387"/>
      <c r="AI309" s="94" t="s">
        <v>256</v>
      </c>
      <c r="AJ309" s="86" t="s">
        <v>3459</v>
      </c>
      <c r="AK309" s="86"/>
      <c r="AL309" s="387"/>
      <c r="AM309" s="387"/>
      <c r="AN309" s="92" t="s">
        <v>5710</v>
      </c>
      <c r="AO309" s="292" t="s">
        <v>5699</v>
      </c>
      <c r="AP309" s="92" t="s">
        <v>1462</v>
      </c>
      <c r="AQ309" s="92" t="s">
        <v>3457</v>
      </c>
      <c r="AR309" s="93">
        <v>44243</v>
      </c>
      <c r="AS309" s="92" t="s">
        <v>3457</v>
      </c>
      <c r="AT309" s="93">
        <v>44267</v>
      </c>
      <c r="AU309" s="1108" t="s">
        <v>37</v>
      </c>
    </row>
    <row r="310" spans="1:47" ht="52.5" thickBot="1" x14ac:dyDescent="0.3">
      <c r="A310" s="809"/>
      <c r="B310" s="174"/>
      <c r="C310" s="165"/>
      <c r="D310" s="574"/>
      <c r="E310" s="574"/>
      <c r="F310" s="165"/>
      <c r="G310" s="165"/>
      <c r="H310" s="167"/>
      <c r="I310" s="424"/>
      <c r="J310" s="248">
        <v>2353</v>
      </c>
      <c r="K310" s="472" t="s">
        <v>5193</v>
      </c>
      <c r="L310" s="934">
        <v>1873789.4029999999</v>
      </c>
      <c r="M310" s="934">
        <v>5536858.7254999997</v>
      </c>
      <c r="N310" s="426">
        <v>70</v>
      </c>
      <c r="O310" s="426" t="s">
        <v>5203</v>
      </c>
      <c r="P310" s="248" t="s">
        <v>194</v>
      </c>
      <c r="Q310" s="426"/>
      <c r="R310" s="426"/>
      <c r="S310" s="426"/>
      <c r="T310" s="481" t="s">
        <v>5204</v>
      </c>
      <c r="U310" s="85" t="s">
        <v>16</v>
      </c>
      <c r="V310" s="86" t="s">
        <v>85</v>
      </c>
      <c r="W310" s="86" t="s">
        <v>16</v>
      </c>
      <c r="X310" s="86" t="s">
        <v>194</v>
      </c>
      <c r="Y310" s="106" t="s">
        <v>2028</v>
      </c>
      <c r="Z310" s="92" t="s">
        <v>604</v>
      </c>
      <c r="AA310" s="86">
        <v>2</v>
      </c>
      <c r="AB310" s="106" t="s">
        <v>5156</v>
      </c>
      <c r="AC310" s="86">
        <v>12</v>
      </c>
      <c r="AD310" s="86"/>
      <c r="AE310" s="86"/>
      <c r="AF310" s="86">
        <v>10</v>
      </c>
      <c r="AG310" s="387"/>
      <c r="AH310" s="387"/>
      <c r="AI310" s="94" t="s">
        <v>256</v>
      </c>
      <c r="AJ310" s="86" t="s">
        <v>3459</v>
      </c>
      <c r="AK310" s="86"/>
      <c r="AL310" s="387"/>
      <c r="AM310" s="387"/>
      <c r="AN310" s="92" t="s">
        <v>5711</v>
      </c>
      <c r="AO310" s="292" t="s">
        <v>5699</v>
      </c>
      <c r="AP310" s="92" t="s">
        <v>1462</v>
      </c>
      <c r="AQ310" s="92" t="s">
        <v>3457</v>
      </c>
      <c r="AR310" s="93">
        <v>44243</v>
      </c>
      <c r="AS310" s="92" t="s">
        <v>3457</v>
      </c>
      <c r="AT310" s="93">
        <v>44267</v>
      </c>
      <c r="AU310" s="1108" t="s">
        <v>37</v>
      </c>
    </row>
    <row r="311" spans="1:47" s="8" customFormat="1" ht="39" x14ac:dyDescent="0.25">
      <c r="A311" s="635" t="s">
        <v>1578</v>
      </c>
      <c r="B311" s="316" t="s">
        <v>4989</v>
      </c>
      <c r="C311" s="254">
        <v>402</v>
      </c>
      <c r="D311" s="316" t="s">
        <v>52</v>
      </c>
      <c r="E311" s="316" t="s">
        <v>53</v>
      </c>
      <c r="F311" s="255" t="s">
        <v>155</v>
      </c>
      <c r="G311" s="255" t="s">
        <v>1263</v>
      </c>
      <c r="H311" s="255" t="s">
        <v>5491</v>
      </c>
      <c r="I311" s="297" t="s">
        <v>150</v>
      </c>
      <c r="J311" s="252">
        <v>1122</v>
      </c>
      <c r="K311" s="253" t="s">
        <v>1577</v>
      </c>
      <c r="L311" s="897">
        <v>1803219.344</v>
      </c>
      <c r="M311" s="897">
        <v>5433131.2293999996</v>
      </c>
      <c r="N311" s="255"/>
      <c r="O311" s="255" t="s">
        <v>1576</v>
      </c>
      <c r="P311" s="255" t="s">
        <v>194</v>
      </c>
      <c r="Q311" s="255"/>
      <c r="R311" s="255">
        <v>0.11</v>
      </c>
      <c r="S311" s="255"/>
      <c r="T311" s="289" t="s">
        <v>1576</v>
      </c>
      <c r="U311" s="287" t="s">
        <v>16</v>
      </c>
      <c r="V311" s="287" t="s">
        <v>16</v>
      </c>
      <c r="W311" s="287" t="s">
        <v>16</v>
      </c>
      <c r="X311" s="287" t="s">
        <v>194</v>
      </c>
      <c r="Y311" s="287">
        <v>6</v>
      </c>
      <c r="Z311" s="389" t="s">
        <v>289</v>
      </c>
      <c r="AA311" s="287">
        <v>1</v>
      </c>
      <c r="AB311" s="287" t="s">
        <v>1574</v>
      </c>
      <c r="AC311" s="287"/>
      <c r="AD311" s="287">
        <v>55</v>
      </c>
      <c r="AE311" s="287"/>
      <c r="AF311" s="287"/>
      <c r="AG311" s="287"/>
      <c r="AH311" s="287"/>
      <c r="AI311" s="286" t="s">
        <v>1455</v>
      </c>
      <c r="AJ311" s="287" t="s">
        <v>13</v>
      </c>
      <c r="AK311" s="287"/>
      <c r="AL311" s="287"/>
      <c r="AM311" s="287"/>
      <c r="AN311" s="286" t="s">
        <v>1573</v>
      </c>
      <c r="AO311" s="286" t="s">
        <v>1572</v>
      </c>
      <c r="AP311" s="286" t="s">
        <v>1571</v>
      </c>
      <c r="AQ311" s="286" t="s">
        <v>1570</v>
      </c>
      <c r="AR311" s="285">
        <v>44084</v>
      </c>
      <c r="AS311" s="286" t="s">
        <v>1570</v>
      </c>
      <c r="AT311" s="285">
        <v>44084</v>
      </c>
      <c r="AU311" s="284" t="s">
        <v>37</v>
      </c>
    </row>
    <row r="312" spans="1:47" s="8" customFormat="1" ht="39.75" thickBot="1" x14ac:dyDescent="0.3">
      <c r="A312" s="636"/>
      <c r="B312" s="315"/>
      <c r="C312" s="261"/>
      <c r="D312" s="315"/>
      <c r="E312" s="315"/>
      <c r="F312" s="262"/>
      <c r="G312" s="262"/>
      <c r="H312" s="262"/>
      <c r="I312" s="299"/>
      <c r="J312" s="260">
        <v>1138</v>
      </c>
      <c r="K312" s="363" t="s">
        <v>1575</v>
      </c>
      <c r="L312" s="898">
        <v>1803097.952</v>
      </c>
      <c r="M312" s="898">
        <v>5433013.5151000004</v>
      </c>
      <c r="N312" s="262"/>
      <c r="O312" s="262">
        <v>0.09</v>
      </c>
      <c r="P312" s="262" t="s">
        <v>194</v>
      </c>
      <c r="Q312" s="262"/>
      <c r="R312" s="262"/>
      <c r="S312" s="262"/>
      <c r="T312" s="274">
        <v>0.1</v>
      </c>
      <c r="U312" s="272" t="s">
        <v>16</v>
      </c>
      <c r="V312" s="272" t="s">
        <v>16</v>
      </c>
      <c r="W312" s="272" t="s">
        <v>16</v>
      </c>
      <c r="X312" s="272" t="s">
        <v>194</v>
      </c>
      <c r="Y312" s="272">
        <v>5.2</v>
      </c>
      <c r="Z312" s="391" t="s">
        <v>289</v>
      </c>
      <c r="AA312" s="272">
        <v>1</v>
      </c>
      <c r="AB312" s="272" t="s">
        <v>1574</v>
      </c>
      <c r="AC312" s="272"/>
      <c r="AD312" s="272">
        <v>55</v>
      </c>
      <c r="AE312" s="272"/>
      <c r="AF312" s="272"/>
      <c r="AG312" s="272"/>
      <c r="AH312" s="272"/>
      <c r="AI312" s="271" t="s">
        <v>1455</v>
      </c>
      <c r="AJ312" s="272" t="s">
        <v>13</v>
      </c>
      <c r="AK312" s="272"/>
      <c r="AL312" s="272"/>
      <c r="AM312" s="272"/>
      <c r="AN312" s="271" t="s">
        <v>1573</v>
      </c>
      <c r="AO312" s="271" t="s">
        <v>1572</v>
      </c>
      <c r="AP312" s="271" t="s">
        <v>1571</v>
      </c>
      <c r="AQ312" s="271" t="s">
        <v>1570</v>
      </c>
      <c r="AR312" s="270">
        <v>44084</v>
      </c>
      <c r="AS312" s="271" t="s">
        <v>1570</v>
      </c>
      <c r="AT312" s="270">
        <v>44084</v>
      </c>
      <c r="AU312" s="269" t="s">
        <v>37</v>
      </c>
    </row>
    <row r="313" spans="1:47" s="8" customFormat="1" ht="65.25" thickBot="1" x14ac:dyDescent="0.3">
      <c r="A313" s="1045" t="s">
        <v>1569</v>
      </c>
      <c r="B313" s="700" t="s">
        <v>1569</v>
      </c>
      <c r="C313" s="217">
        <v>398</v>
      </c>
      <c r="D313" s="700" t="s">
        <v>53</v>
      </c>
      <c r="E313" s="700" t="s">
        <v>57</v>
      </c>
      <c r="F313" s="219" t="s">
        <v>155</v>
      </c>
      <c r="G313" s="607" t="s">
        <v>3061</v>
      </c>
      <c r="H313" s="219" t="s">
        <v>5493</v>
      </c>
      <c r="I313" s="701" t="s">
        <v>5031</v>
      </c>
      <c r="J313" s="217">
        <v>1163</v>
      </c>
      <c r="K313" s="469" t="s">
        <v>1568</v>
      </c>
      <c r="L313" s="935">
        <v>1814386.0959999999</v>
      </c>
      <c r="M313" s="935">
        <v>5461387.0755000003</v>
      </c>
      <c r="N313" s="219"/>
      <c r="O313" s="705" t="s">
        <v>41</v>
      </c>
      <c r="P313" s="219" t="s">
        <v>194</v>
      </c>
      <c r="Q313" s="219"/>
      <c r="R313" s="219"/>
      <c r="S313" s="219"/>
      <c r="T313" s="219" t="s">
        <v>1567</v>
      </c>
      <c r="U313" s="321" t="s">
        <v>85</v>
      </c>
      <c r="V313" s="287" t="s">
        <v>85</v>
      </c>
      <c r="W313" s="287" t="s">
        <v>85</v>
      </c>
      <c r="X313" s="287" t="s">
        <v>194</v>
      </c>
      <c r="Y313" s="287">
        <v>0.9</v>
      </c>
      <c r="Z313" s="389" t="s">
        <v>1557</v>
      </c>
      <c r="AA313" s="287"/>
      <c r="AB313" s="302" t="s">
        <v>1480</v>
      </c>
      <c r="AC313" s="287"/>
      <c r="AD313" s="293">
        <v>10</v>
      </c>
      <c r="AE313" s="293">
        <v>18</v>
      </c>
      <c r="AF313" s="287"/>
      <c r="AG313" s="287"/>
      <c r="AH313" s="287"/>
      <c r="AI313" s="286" t="s">
        <v>256</v>
      </c>
      <c r="AJ313" s="287"/>
      <c r="AK313" s="287"/>
      <c r="AL313" s="287"/>
      <c r="AM313" s="287"/>
      <c r="AN313" s="286" t="s">
        <v>1566</v>
      </c>
      <c r="AO313" s="286" t="s">
        <v>1561</v>
      </c>
      <c r="AP313" s="286" t="s">
        <v>1477</v>
      </c>
      <c r="AQ313" s="286" t="s">
        <v>1380</v>
      </c>
      <c r="AR313" s="285">
        <v>44085</v>
      </c>
      <c r="AS313" s="286" t="s">
        <v>1380</v>
      </c>
      <c r="AT313" s="285">
        <v>44088</v>
      </c>
      <c r="AU313" s="284" t="s">
        <v>37</v>
      </c>
    </row>
    <row r="314" spans="1:47" s="8" customFormat="1" ht="65.25" thickBot="1" x14ac:dyDescent="0.3">
      <c r="A314" s="1046"/>
      <c r="B314" s="702"/>
      <c r="C314" s="213"/>
      <c r="D314" s="702"/>
      <c r="E314" s="702"/>
      <c r="F314" s="216"/>
      <c r="G314" s="216"/>
      <c r="H314" s="216"/>
      <c r="I314" s="703"/>
      <c r="J314" s="250">
        <v>1164</v>
      </c>
      <c r="K314" s="454" t="s">
        <v>1565</v>
      </c>
      <c r="L314" s="922">
        <v>1814807.2461999999</v>
      </c>
      <c r="M314" s="922">
        <v>5461484.9883000003</v>
      </c>
      <c r="N314" s="455"/>
      <c r="O314" s="706" t="s">
        <v>41</v>
      </c>
      <c r="P314" s="455" t="s">
        <v>194</v>
      </c>
      <c r="Q314" s="455"/>
      <c r="R314" s="455"/>
      <c r="S314" s="455"/>
      <c r="T314" s="455" t="s">
        <v>1014</v>
      </c>
      <c r="U314" s="314" t="s">
        <v>85</v>
      </c>
      <c r="V314" s="293" t="s">
        <v>85</v>
      </c>
      <c r="W314" s="293" t="s">
        <v>85</v>
      </c>
      <c r="X314" s="293" t="s">
        <v>194</v>
      </c>
      <c r="Y314" s="293">
        <v>7.3</v>
      </c>
      <c r="Z314" s="342" t="s">
        <v>1557</v>
      </c>
      <c r="AA314" s="293"/>
      <c r="AB314" s="307" t="s">
        <v>1480</v>
      </c>
      <c r="AC314" s="293"/>
      <c r="AD314" s="272">
        <v>10</v>
      </c>
      <c r="AE314" s="272">
        <v>18</v>
      </c>
      <c r="AF314" s="293"/>
      <c r="AG314" s="293"/>
      <c r="AH314" s="293"/>
      <c r="AI314" s="292" t="s">
        <v>256</v>
      </c>
      <c r="AJ314" s="293"/>
      <c r="AK314" s="293"/>
      <c r="AL314" s="293"/>
      <c r="AM314" s="293"/>
      <c r="AN314" s="292" t="s">
        <v>1564</v>
      </c>
      <c r="AO314" s="292" t="s">
        <v>1561</v>
      </c>
      <c r="AP314" s="292" t="s">
        <v>1477</v>
      </c>
      <c r="AQ314" s="292" t="s">
        <v>1380</v>
      </c>
      <c r="AR314" s="291">
        <v>44085</v>
      </c>
      <c r="AS314" s="292" t="s">
        <v>1380</v>
      </c>
      <c r="AT314" s="291">
        <v>44088</v>
      </c>
      <c r="AU314" s="290" t="s">
        <v>37</v>
      </c>
    </row>
    <row r="315" spans="1:47" s="8" customFormat="1" ht="65.25" thickBot="1" x14ac:dyDescent="0.3">
      <c r="A315" s="1046"/>
      <c r="B315" s="702"/>
      <c r="C315" s="213"/>
      <c r="D315" s="702"/>
      <c r="E315" s="702"/>
      <c r="F315" s="216"/>
      <c r="G315" s="216"/>
      <c r="H315" s="216"/>
      <c r="I315" s="703"/>
      <c r="J315" s="250">
        <v>1165</v>
      </c>
      <c r="K315" s="454" t="s">
        <v>1563</v>
      </c>
      <c r="L315" s="922">
        <v>1817501.5273</v>
      </c>
      <c r="M315" s="922">
        <v>5461652.8114999998</v>
      </c>
      <c r="N315" s="455"/>
      <c r="O315" s="706" t="s">
        <v>41</v>
      </c>
      <c r="P315" s="455" t="s">
        <v>194</v>
      </c>
      <c r="Q315" s="455"/>
      <c r="R315" s="455"/>
      <c r="S315" s="455"/>
      <c r="T315" s="455" t="s">
        <v>1562</v>
      </c>
      <c r="U315" s="314" t="s">
        <v>85</v>
      </c>
      <c r="V315" s="293" t="s">
        <v>85</v>
      </c>
      <c r="W315" s="293" t="s">
        <v>85</v>
      </c>
      <c r="X315" s="293" t="s">
        <v>194</v>
      </c>
      <c r="Y315" s="293">
        <v>5.2</v>
      </c>
      <c r="Z315" s="342" t="s">
        <v>1557</v>
      </c>
      <c r="AA315" s="293"/>
      <c r="AB315" s="307" t="s">
        <v>1480</v>
      </c>
      <c r="AC315" s="293"/>
      <c r="AD315" s="272">
        <v>10</v>
      </c>
      <c r="AE315" s="272">
        <v>18</v>
      </c>
      <c r="AF315" s="293"/>
      <c r="AG315" s="293"/>
      <c r="AH315" s="293"/>
      <c r="AI315" s="292" t="s">
        <v>256</v>
      </c>
      <c r="AJ315" s="293"/>
      <c r="AK315" s="293"/>
      <c r="AL315" s="293"/>
      <c r="AM315" s="293"/>
      <c r="AN315" s="292" t="s">
        <v>5056</v>
      </c>
      <c r="AO315" s="292" t="s">
        <v>1561</v>
      </c>
      <c r="AP315" s="292" t="s">
        <v>1477</v>
      </c>
      <c r="AQ315" s="292" t="s">
        <v>1380</v>
      </c>
      <c r="AR315" s="291">
        <v>44085</v>
      </c>
      <c r="AS315" s="292" t="s">
        <v>1380</v>
      </c>
      <c r="AT315" s="291">
        <v>44088</v>
      </c>
      <c r="AU315" s="290" t="s">
        <v>37</v>
      </c>
    </row>
    <row r="316" spans="1:47" s="8" customFormat="1" ht="65.25" thickBot="1" x14ac:dyDescent="0.3">
      <c r="A316" s="1046"/>
      <c r="B316" s="702"/>
      <c r="C316" s="213"/>
      <c r="D316" s="702"/>
      <c r="E316" s="702"/>
      <c r="F316" s="216"/>
      <c r="G316" s="216"/>
      <c r="H316" s="216"/>
      <c r="I316" s="704"/>
      <c r="J316" s="220">
        <v>1111</v>
      </c>
      <c r="K316" s="471" t="s">
        <v>1560</v>
      </c>
      <c r="L316" s="936">
        <v>1817353.8637000001</v>
      </c>
      <c r="M316" s="936">
        <v>5461632.0818999996</v>
      </c>
      <c r="N316" s="707" t="s">
        <v>1559</v>
      </c>
      <c r="O316" s="223" t="s">
        <v>41</v>
      </c>
      <c r="P316" s="223" t="s">
        <v>194</v>
      </c>
      <c r="Q316" s="223"/>
      <c r="R316" s="223"/>
      <c r="S316" s="223"/>
      <c r="T316" s="223" t="s">
        <v>1558</v>
      </c>
      <c r="U316" s="318" t="s">
        <v>85</v>
      </c>
      <c r="V316" s="272" t="s">
        <v>85</v>
      </c>
      <c r="W316" s="272" t="s">
        <v>85</v>
      </c>
      <c r="X316" s="272" t="s">
        <v>194</v>
      </c>
      <c r="Y316" s="272">
        <v>3.4</v>
      </c>
      <c r="Z316" s="391" t="s">
        <v>1557</v>
      </c>
      <c r="AA316" s="272"/>
      <c r="AB316" s="317" t="s">
        <v>885</v>
      </c>
      <c r="AC316" s="272"/>
      <c r="AD316" s="272">
        <v>10</v>
      </c>
      <c r="AE316" s="272">
        <v>14</v>
      </c>
      <c r="AF316" s="272"/>
      <c r="AG316" s="272"/>
      <c r="AH316" s="272"/>
      <c r="AI316" s="271" t="s">
        <v>256</v>
      </c>
      <c r="AJ316" s="272"/>
      <c r="AK316" s="272"/>
      <c r="AL316" s="272"/>
      <c r="AM316" s="272"/>
      <c r="AN316" s="271" t="s">
        <v>1556</v>
      </c>
      <c r="AO316" s="271" t="s">
        <v>1555</v>
      </c>
      <c r="AP316" s="271" t="s">
        <v>1471</v>
      </c>
      <c r="AQ316" s="271" t="s">
        <v>1380</v>
      </c>
      <c r="AR316" s="270">
        <v>44068</v>
      </c>
      <c r="AS316" s="271" t="s">
        <v>1380</v>
      </c>
      <c r="AT316" s="270">
        <v>44089</v>
      </c>
      <c r="AU316" s="269" t="s">
        <v>37</v>
      </c>
    </row>
    <row r="317" spans="1:47" s="135" customFormat="1" ht="52.5" thickBot="1" x14ac:dyDescent="0.3">
      <c r="A317" s="790"/>
      <c r="B317" s="777"/>
      <c r="C317" s="28"/>
      <c r="D317" s="575"/>
      <c r="E317" s="575"/>
      <c r="F317" s="28"/>
      <c r="G317" s="246"/>
      <c r="H317" s="504"/>
      <c r="I317" s="608"/>
      <c r="J317" s="220" t="s">
        <v>2156</v>
      </c>
      <c r="K317" s="471" t="s">
        <v>5062</v>
      </c>
      <c r="L317" s="936" t="s">
        <v>2156</v>
      </c>
      <c r="M317" s="936" t="s">
        <v>2156</v>
      </c>
      <c r="N317" s="223"/>
      <c r="O317" s="708" t="s">
        <v>5057</v>
      </c>
      <c r="P317" s="223" t="s">
        <v>194</v>
      </c>
      <c r="Q317" s="223" t="s">
        <v>5058</v>
      </c>
      <c r="R317" s="223"/>
      <c r="S317" s="223"/>
      <c r="T317" s="708" t="s">
        <v>5059</v>
      </c>
      <c r="U317" s="318"/>
      <c r="V317" s="272"/>
      <c r="W317" s="272"/>
      <c r="X317" s="272" t="s">
        <v>194</v>
      </c>
      <c r="Y317" s="317" t="s">
        <v>4119</v>
      </c>
      <c r="Z317" s="391" t="s">
        <v>196</v>
      </c>
      <c r="AA317" s="272"/>
      <c r="AB317" s="317" t="s">
        <v>1480</v>
      </c>
      <c r="AC317" s="272"/>
      <c r="AD317" s="272">
        <v>10</v>
      </c>
      <c r="AE317" s="272">
        <v>18</v>
      </c>
      <c r="AF317" s="272"/>
      <c r="AG317" s="272"/>
      <c r="AH317" s="272"/>
      <c r="AI317" s="271" t="s">
        <v>256</v>
      </c>
      <c r="AJ317" s="272"/>
      <c r="AK317" s="272"/>
      <c r="AL317" s="272"/>
      <c r="AM317" s="272"/>
      <c r="AN317" s="271" t="s">
        <v>5060</v>
      </c>
      <c r="AO317" s="271" t="s">
        <v>5061</v>
      </c>
      <c r="AP317" s="271" t="s">
        <v>1477</v>
      </c>
      <c r="AQ317" s="271" t="s">
        <v>1380</v>
      </c>
      <c r="AR317" s="270">
        <v>44085</v>
      </c>
      <c r="AS317" s="271" t="s">
        <v>1380</v>
      </c>
      <c r="AT317" s="271"/>
      <c r="AU317" s="269"/>
    </row>
    <row r="318" spans="1:47" s="135" customFormat="1" ht="51.75" x14ac:dyDescent="0.25">
      <c r="A318" s="341" t="s">
        <v>987</v>
      </c>
      <c r="B318" s="181" t="s">
        <v>979</v>
      </c>
      <c r="C318" s="125">
        <v>390</v>
      </c>
      <c r="D318" s="585" t="s">
        <v>52</v>
      </c>
      <c r="E318" s="585"/>
      <c r="F318" s="125" t="s">
        <v>906</v>
      </c>
      <c r="G318" s="145" t="s">
        <v>1263</v>
      </c>
      <c r="H318" s="126" t="s">
        <v>2244</v>
      </c>
      <c r="I318" s="181" t="s">
        <v>5494</v>
      </c>
      <c r="J318" s="189">
        <v>168</v>
      </c>
      <c r="K318" s="355" t="s">
        <v>985</v>
      </c>
      <c r="L318" s="911">
        <v>1889017.7471</v>
      </c>
      <c r="M318" s="911">
        <v>5499456.5169000002</v>
      </c>
      <c r="N318" s="126"/>
      <c r="O318" s="126" t="s">
        <v>982</v>
      </c>
      <c r="P318" s="126" t="s">
        <v>194</v>
      </c>
      <c r="Q318" s="126"/>
      <c r="R318" s="126"/>
      <c r="S318" s="126"/>
      <c r="T318" s="126" t="s">
        <v>1012</v>
      </c>
      <c r="U318" s="169" t="s">
        <v>16</v>
      </c>
      <c r="V318" s="151" t="s">
        <v>16</v>
      </c>
      <c r="W318" s="151" t="s">
        <v>16</v>
      </c>
      <c r="X318" s="153" t="s">
        <v>194</v>
      </c>
      <c r="Y318" s="153" t="s">
        <v>988</v>
      </c>
      <c r="Z318" s="152" t="s">
        <v>933</v>
      </c>
      <c r="AA318" s="153">
        <v>1</v>
      </c>
      <c r="AB318" s="153" t="s">
        <v>989</v>
      </c>
      <c r="AC318" s="151">
        <v>7.7839999999999998</v>
      </c>
      <c r="AD318" s="151">
        <v>7.56</v>
      </c>
      <c r="AE318" s="151">
        <v>8.0079999999999991</v>
      </c>
      <c r="AF318" s="151"/>
      <c r="AG318" s="151"/>
      <c r="AH318" s="151"/>
      <c r="AI318" s="203" t="s">
        <v>549</v>
      </c>
      <c r="AJ318" s="202"/>
      <c r="AK318" s="202"/>
      <c r="AL318" s="442"/>
      <c r="AM318" s="442"/>
      <c r="AN318" s="30" t="s">
        <v>930</v>
      </c>
      <c r="AO318" s="30" t="s">
        <v>974</v>
      </c>
      <c r="AP318" s="152" t="s">
        <v>6971</v>
      </c>
      <c r="AQ318" s="152" t="s">
        <v>37</v>
      </c>
      <c r="AR318" s="170">
        <v>44078</v>
      </c>
      <c r="AS318" s="152" t="s">
        <v>37</v>
      </c>
      <c r="AT318" s="361"/>
      <c r="AU318" s="1112"/>
    </row>
    <row r="319" spans="1:47" s="135" customFormat="1" ht="51.75" x14ac:dyDescent="0.25">
      <c r="A319" s="339"/>
      <c r="B319" s="116"/>
      <c r="C319" s="95"/>
      <c r="D319" s="567"/>
      <c r="E319" s="567"/>
      <c r="F319" s="95"/>
      <c r="G319" s="146"/>
      <c r="H319" s="108"/>
      <c r="I319" s="116"/>
      <c r="J319" s="191">
        <v>169</v>
      </c>
      <c r="K319" s="359" t="s">
        <v>980</v>
      </c>
      <c r="L319" s="913">
        <v>1882810.1532999999</v>
      </c>
      <c r="M319" s="913">
        <v>5493631.4413000001</v>
      </c>
      <c r="N319" s="108"/>
      <c r="O319" s="108" t="s">
        <v>983</v>
      </c>
      <c r="P319" s="108" t="s">
        <v>194</v>
      </c>
      <c r="Q319" s="108"/>
      <c r="R319" s="108"/>
      <c r="S319" s="108"/>
      <c r="T319" s="108" t="s">
        <v>1013</v>
      </c>
      <c r="U319" s="138" t="s">
        <v>16</v>
      </c>
      <c r="V319" s="136" t="s">
        <v>16</v>
      </c>
      <c r="W319" s="136" t="s">
        <v>16</v>
      </c>
      <c r="X319" s="132" t="s">
        <v>194</v>
      </c>
      <c r="Y319" s="132" t="s">
        <v>991</v>
      </c>
      <c r="Z319" s="137" t="s">
        <v>933</v>
      </c>
      <c r="AA319" s="132">
        <v>1</v>
      </c>
      <c r="AB319" s="132" t="s">
        <v>992</v>
      </c>
      <c r="AC319" s="136">
        <v>7.819</v>
      </c>
      <c r="AD319" s="136">
        <v>7.5629999999999997</v>
      </c>
      <c r="AE319" s="136">
        <v>8.0749999999999993</v>
      </c>
      <c r="AF319" s="136"/>
      <c r="AG319" s="136"/>
      <c r="AH319" s="136"/>
      <c r="AI319" s="180" t="s">
        <v>549</v>
      </c>
      <c r="AJ319" s="173"/>
      <c r="AK319" s="173"/>
      <c r="AL319" s="350"/>
      <c r="AM319" s="350"/>
      <c r="AN319" s="45" t="s">
        <v>930</v>
      </c>
      <c r="AO319" s="45" t="s">
        <v>974</v>
      </c>
      <c r="AP319" s="137" t="s">
        <v>6971</v>
      </c>
      <c r="AQ319" s="137" t="s">
        <v>37</v>
      </c>
      <c r="AR319" s="139">
        <v>44078</v>
      </c>
      <c r="AS319" s="137" t="s">
        <v>37</v>
      </c>
      <c r="AT319" s="358"/>
      <c r="AU319" s="1110"/>
    </row>
    <row r="320" spans="1:47" s="135" customFormat="1" ht="51.75" x14ac:dyDescent="0.25">
      <c r="A320" s="339"/>
      <c r="B320" s="116"/>
      <c r="C320" s="95"/>
      <c r="D320" s="567"/>
      <c r="E320" s="567"/>
      <c r="F320" s="95"/>
      <c r="G320" s="146"/>
      <c r="H320" s="108"/>
      <c r="I320" s="116"/>
      <c r="J320" s="191">
        <v>170</v>
      </c>
      <c r="K320" s="359" t="s">
        <v>981</v>
      </c>
      <c r="L320" s="913">
        <v>1871781.2524999999</v>
      </c>
      <c r="M320" s="913">
        <v>5470181.1070999997</v>
      </c>
      <c r="N320" s="108"/>
      <c r="O320" s="108" t="s">
        <v>984</v>
      </c>
      <c r="P320" s="108" t="s">
        <v>194</v>
      </c>
      <c r="Q320" s="108"/>
      <c r="R320" s="108"/>
      <c r="S320" s="108"/>
      <c r="T320" s="108" t="s">
        <v>5112</v>
      </c>
      <c r="U320" s="138" t="s">
        <v>16</v>
      </c>
      <c r="V320" s="136" t="s">
        <v>16</v>
      </c>
      <c r="W320" s="136" t="s">
        <v>16</v>
      </c>
      <c r="X320" s="132" t="s">
        <v>194</v>
      </c>
      <c r="Y320" s="132" t="s">
        <v>993</v>
      </c>
      <c r="Z320" s="137" t="s">
        <v>933</v>
      </c>
      <c r="AA320" s="132">
        <v>1</v>
      </c>
      <c r="AB320" s="132" t="s">
        <v>994</v>
      </c>
      <c r="AC320" s="136">
        <v>6.5789999999999997</v>
      </c>
      <c r="AD320" s="136">
        <v>6.3419999999999996</v>
      </c>
      <c r="AE320" s="136">
        <v>6.8159999999999998</v>
      </c>
      <c r="AF320" s="136"/>
      <c r="AG320" s="136"/>
      <c r="AH320" s="136"/>
      <c r="AI320" s="180" t="s">
        <v>549</v>
      </c>
      <c r="AJ320" s="173"/>
      <c r="AK320" s="173"/>
      <c r="AL320" s="350"/>
      <c r="AM320" s="350"/>
      <c r="AN320" s="45" t="s">
        <v>930</v>
      </c>
      <c r="AO320" s="45" t="s">
        <v>974</v>
      </c>
      <c r="AP320" s="137" t="s">
        <v>6971</v>
      </c>
      <c r="AQ320" s="137" t="s">
        <v>37</v>
      </c>
      <c r="AR320" s="139">
        <v>44078</v>
      </c>
      <c r="AS320" s="137" t="s">
        <v>37</v>
      </c>
      <c r="AT320" s="358"/>
      <c r="AU320" s="1110"/>
    </row>
    <row r="321" spans="1:47" s="211" customFormat="1" ht="77.25" x14ac:dyDescent="0.25">
      <c r="A321" s="339"/>
      <c r="B321" s="116"/>
      <c r="C321" s="95"/>
      <c r="D321" s="567"/>
      <c r="E321" s="567"/>
      <c r="F321" s="95"/>
      <c r="G321" s="146"/>
      <c r="H321" s="108"/>
      <c r="I321" s="116"/>
      <c r="J321" s="191">
        <v>171</v>
      </c>
      <c r="K321" s="359" t="s">
        <v>997</v>
      </c>
      <c r="L321" s="913">
        <v>1866250.0305999999</v>
      </c>
      <c r="M321" s="913">
        <v>5463186.7093000002</v>
      </c>
      <c r="N321" s="108"/>
      <c r="O321" s="108" t="s">
        <v>1003</v>
      </c>
      <c r="P321" s="108" t="s">
        <v>194</v>
      </c>
      <c r="Q321" s="108"/>
      <c r="R321" s="108"/>
      <c r="S321" s="108"/>
      <c r="T321" s="108" t="s">
        <v>1014</v>
      </c>
      <c r="U321" s="138" t="s">
        <v>85</v>
      </c>
      <c r="V321" s="136" t="s">
        <v>85</v>
      </c>
      <c r="W321" s="136" t="s">
        <v>85</v>
      </c>
      <c r="X321" s="132" t="s">
        <v>194</v>
      </c>
      <c r="Y321" s="136" t="s">
        <v>1008</v>
      </c>
      <c r="Z321" s="137" t="s">
        <v>933</v>
      </c>
      <c r="AA321" s="132">
        <v>1</v>
      </c>
      <c r="AB321" s="132" t="s">
        <v>954</v>
      </c>
      <c r="AC321" s="136">
        <v>125</v>
      </c>
      <c r="AD321" s="136">
        <v>123</v>
      </c>
      <c r="AE321" s="136">
        <v>127</v>
      </c>
      <c r="AF321" s="136"/>
      <c r="AG321" s="136"/>
      <c r="AH321" s="136"/>
      <c r="AI321" s="180" t="s">
        <v>256</v>
      </c>
      <c r="AJ321" s="173"/>
      <c r="AK321" s="173"/>
      <c r="AL321" s="350"/>
      <c r="AM321" s="350"/>
      <c r="AN321" s="45" t="s">
        <v>955</v>
      </c>
      <c r="AO321" s="45" t="s">
        <v>956</v>
      </c>
      <c r="AP321" s="137" t="s">
        <v>1007</v>
      </c>
      <c r="AQ321" s="137" t="s">
        <v>37</v>
      </c>
      <c r="AR321" s="139">
        <v>44244</v>
      </c>
      <c r="AS321" s="137" t="s">
        <v>37</v>
      </c>
      <c r="AT321" s="358"/>
      <c r="AU321" s="1110"/>
    </row>
    <row r="322" spans="1:47" s="211" customFormat="1" ht="77.25" x14ac:dyDescent="0.25">
      <c r="A322" s="339"/>
      <c r="B322" s="116"/>
      <c r="C322" s="95"/>
      <c r="D322" s="567"/>
      <c r="E322" s="567"/>
      <c r="F322" s="95"/>
      <c r="G322" s="146"/>
      <c r="H322" s="108"/>
      <c r="I322" s="116"/>
      <c r="J322" s="191">
        <v>172</v>
      </c>
      <c r="K322" s="359" t="s">
        <v>998</v>
      </c>
      <c r="L322" s="913">
        <v>1863979.1906999999</v>
      </c>
      <c r="M322" s="913">
        <v>5461466.3722999999</v>
      </c>
      <c r="N322" s="108"/>
      <c r="O322" s="108" t="s">
        <v>1004</v>
      </c>
      <c r="P322" s="108" t="s">
        <v>194</v>
      </c>
      <c r="Q322" s="108"/>
      <c r="R322" s="108"/>
      <c r="S322" s="108"/>
      <c r="T322" s="108" t="s">
        <v>1015</v>
      </c>
      <c r="U322" s="138" t="s">
        <v>85</v>
      </c>
      <c r="V322" s="136" t="s">
        <v>85</v>
      </c>
      <c r="W322" s="136" t="s">
        <v>85</v>
      </c>
      <c r="X322" s="132" t="s">
        <v>194</v>
      </c>
      <c r="Y322" s="136" t="s">
        <v>1009</v>
      </c>
      <c r="Z322" s="137" t="s">
        <v>933</v>
      </c>
      <c r="AA322" s="132">
        <v>1</v>
      </c>
      <c r="AB322" s="132" t="s">
        <v>954</v>
      </c>
      <c r="AC322" s="136">
        <v>125</v>
      </c>
      <c r="AD322" s="136">
        <v>123</v>
      </c>
      <c r="AE322" s="136">
        <v>127</v>
      </c>
      <c r="AF322" s="136"/>
      <c r="AG322" s="136"/>
      <c r="AH322" s="136"/>
      <c r="AI322" s="180" t="s">
        <v>256</v>
      </c>
      <c r="AJ322" s="173"/>
      <c r="AK322" s="173"/>
      <c r="AL322" s="350"/>
      <c r="AM322" s="350"/>
      <c r="AN322" s="45" t="s">
        <v>955</v>
      </c>
      <c r="AO322" s="45" t="s">
        <v>956</v>
      </c>
      <c r="AP322" s="137" t="s">
        <v>1007</v>
      </c>
      <c r="AQ322" s="137" t="s">
        <v>37</v>
      </c>
      <c r="AR322" s="139">
        <v>44244</v>
      </c>
      <c r="AS322" s="137" t="s">
        <v>37</v>
      </c>
      <c r="AT322" s="358"/>
      <c r="AU322" s="1110"/>
    </row>
    <row r="323" spans="1:47" s="211" customFormat="1" ht="78" thickBot="1" x14ac:dyDescent="0.3">
      <c r="A323" s="336"/>
      <c r="B323" s="196"/>
      <c r="C323" s="96"/>
      <c r="D323" s="566"/>
      <c r="E323" s="566"/>
      <c r="F323" s="96"/>
      <c r="G323" s="147"/>
      <c r="H323" s="107"/>
      <c r="I323" s="196"/>
      <c r="J323" s="190">
        <v>173</v>
      </c>
      <c r="K323" s="357" t="s">
        <v>999</v>
      </c>
      <c r="L323" s="912">
        <v>1861315.1661</v>
      </c>
      <c r="M323" s="912">
        <v>5456042.0746999998</v>
      </c>
      <c r="N323" s="107"/>
      <c r="O323" s="107" t="s">
        <v>1005</v>
      </c>
      <c r="P323" s="107" t="s">
        <v>194</v>
      </c>
      <c r="Q323" s="107"/>
      <c r="R323" s="107"/>
      <c r="S323" s="107"/>
      <c r="T323" s="107" t="s">
        <v>1016</v>
      </c>
      <c r="U323" s="171" t="s">
        <v>85</v>
      </c>
      <c r="V323" s="154" t="s">
        <v>85</v>
      </c>
      <c r="W323" s="154" t="s">
        <v>85</v>
      </c>
      <c r="X323" s="156" t="s">
        <v>194</v>
      </c>
      <c r="Y323" s="154" t="s">
        <v>1010</v>
      </c>
      <c r="Z323" s="155" t="s">
        <v>933</v>
      </c>
      <c r="AA323" s="156">
        <v>1</v>
      </c>
      <c r="AB323" s="156" t="s">
        <v>954</v>
      </c>
      <c r="AC323" s="154">
        <v>125</v>
      </c>
      <c r="AD323" s="154">
        <v>123</v>
      </c>
      <c r="AE323" s="154">
        <v>127</v>
      </c>
      <c r="AF323" s="154"/>
      <c r="AG323" s="154"/>
      <c r="AH323" s="154"/>
      <c r="AI323" s="183" t="s">
        <v>256</v>
      </c>
      <c r="AJ323" s="201"/>
      <c r="AK323" s="201"/>
      <c r="AL323" s="443"/>
      <c r="AM323" s="443"/>
      <c r="AN323" s="51" t="s">
        <v>955</v>
      </c>
      <c r="AO323" s="51" t="s">
        <v>956</v>
      </c>
      <c r="AP323" s="155" t="s">
        <v>1007</v>
      </c>
      <c r="AQ323" s="155" t="s">
        <v>37</v>
      </c>
      <c r="AR323" s="172">
        <v>44244</v>
      </c>
      <c r="AS323" s="155" t="s">
        <v>37</v>
      </c>
      <c r="AT323" s="362"/>
      <c r="AU323" s="1111"/>
    </row>
    <row r="324" spans="1:47" ht="27" thickBot="1" x14ac:dyDescent="0.3">
      <c r="A324" s="648" t="s">
        <v>2851</v>
      </c>
      <c r="B324" s="598" t="s">
        <v>2851</v>
      </c>
      <c r="C324" s="248">
        <v>197</v>
      </c>
      <c r="D324" s="595" t="s">
        <v>57</v>
      </c>
      <c r="E324" s="595"/>
      <c r="F324" s="528" t="s">
        <v>668</v>
      </c>
      <c r="G324" s="249" t="s">
        <v>4988</v>
      </c>
      <c r="H324" s="426" t="s">
        <v>2853</v>
      </c>
      <c r="I324" s="634" t="s">
        <v>5492</v>
      </c>
      <c r="J324" s="425">
        <v>3029</v>
      </c>
      <c r="K324" s="472" t="s">
        <v>2851</v>
      </c>
      <c r="L324" s="934">
        <v>1931263.8504029999</v>
      </c>
      <c r="M324" s="934">
        <v>5798761.8395149997</v>
      </c>
      <c r="N324" s="426"/>
      <c r="O324" s="426" t="s">
        <v>2852</v>
      </c>
      <c r="P324" s="483" t="s">
        <v>2047</v>
      </c>
      <c r="Q324" s="426"/>
      <c r="R324" s="426"/>
      <c r="S324" s="426"/>
      <c r="T324" s="536" t="s">
        <v>2853</v>
      </c>
      <c r="U324" s="85" t="s">
        <v>85</v>
      </c>
      <c r="V324" s="86" t="s">
        <v>85</v>
      </c>
      <c r="W324" s="86" t="s">
        <v>85</v>
      </c>
      <c r="X324" s="86" t="s">
        <v>194</v>
      </c>
      <c r="Y324" s="197">
        <v>9.1999999999999993</v>
      </c>
      <c r="Z324" s="92" t="s">
        <v>2727</v>
      </c>
      <c r="AA324" s="86">
        <v>1</v>
      </c>
      <c r="AB324" s="86">
        <v>5.6</v>
      </c>
      <c r="AC324" s="86">
        <v>5.6</v>
      </c>
      <c r="AD324" s="86"/>
      <c r="AE324" s="86"/>
      <c r="AF324" s="86"/>
      <c r="AG324" s="387"/>
      <c r="AH324" s="387"/>
      <c r="AI324" s="94" t="s">
        <v>2722</v>
      </c>
      <c r="AJ324" s="106"/>
      <c r="AK324" s="86"/>
      <c r="AL324" s="387"/>
      <c r="AM324" s="387"/>
      <c r="AN324" s="342" t="s">
        <v>2854</v>
      </c>
      <c r="AO324" s="94" t="s">
        <v>2846</v>
      </c>
      <c r="AP324" s="92" t="s">
        <v>6972</v>
      </c>
      <c r="AQ324" s="92" t="s">
        <v>2715</v>
      </c>
      <c r="AR324" s="93">
        <v>44244</v>
      </c>
      <c r="AS324" s="92" t="s">
        <v>2715</v>
      </c>
      <c r="AT324" s="93">
        <v>44111</v>
      </c>
      <c r="AU324" s="1108" t="s">
        <v>37</v>
      </c>
    </row>
    <row r="325" spans="1:47" ht="39.75" thickBot="1" x14ac:dyDescent="0.3">
      <c r="A325" s="341" t="s">
        <v>5208</v>
      </c>
      <c r="B325" s="181" t="s">
        <v>5209</v>
      </c>
      <c r="C325" s="125">
        <v>311</v>
      </c>
      <c r="D325" s="585" t="s">
        <v>52</v>
      </c>
      <c r="E325" s="585" t="s">
        <v>53</v>
      </c>
      <c r="F325" s="125" t="s">
        <v>567</v>
      </c>
      <c r="G325" s="125" t="s">
        <v>1973</v>
      </c>
      <c r="H325" s="126" t="s">
        <v>5589</v>
      </c>
      <c r="I325" s="247" t="s">
        <v>5590</v>
      </c>
      <c r="J325" s="84">
        <v>2354</v>
      </c>
      <c r="K325" s="396" t="s">
        <v>5210</v>
      </c>
      <c r="L325" s="908">
        <v>1869516.0179999999</v>
      </c>
      <c r="M325" s="908">
        <v>5545494.8483999996</v>
      </c>
      <c r="N325" s="109">
        <v>42</v>
      </c>
      <c r="O325" s="109" t="s">
        <v>2095</v>
      </c>
      <c r="P325" s="109" t="s">
        <v>194</v>
      </c>
      <c r="Q325" s="296"/>
      <c r="R325" s="296"/>
      <c r="S325" s="296"/>
      <c r="T325" s="295" t="s">
        <v>5587</v>
      </c>
      <c r="U325" s="294" t="s">
        <v>16</v>
      </c>
      <c r="V325" s="197" t="s">
        <v>85</v>
      </c>
      <c r="W325" s="197" t="s">
        <v>16</v>
      </c>
      <c r="X325" s="197" t="s">
        <v>194</v>
      </c>
      <c r="Y325" s="307" t="s">
        <v>5211</v>
      </c>
      <c r="Z325" s="92" t="s">
        <v>604</v>
      </c>
      <c r="AA325" s="197">
        <v>2</v>
      </c>
      <c r="AB325" s="307" t="s">
        <v>5156</v>
      </c>
      <c r="AC325" s="197">
        <v>12</v>
      </c>
      <c r="AD325" s="197"/>
      <c r="AE325" s="197"/>
      <c r="AF325" s="197">
        <v>10</v>
      </c>
      <c r="AG325" s="197"/>
      <c r="AH325" s="197"/>
      <c r="AI325" s="94" t="s">
        <v>256</v>
      </c>
      <c r="AJ325" s="197" t="s">
        <v>3459</v>
      </c>
      <c r="AK325" s="197"/>
      <c r="AL325" s="197"/>
      <c r="AM325" s="197"/>
      <c r="AN325" s="94" t="s">
        <v>5712</v>
      </c>
      <c r="AO325" s="292" t="s">
        <v>5699</v>
      </c>
      <c r="AP325" s="92" t="s">
        <v>1462</v>
      </c>
      <c r="AQ325" s="92" t="s">
        <v>3457</v>
      </c>
      <c r="AR325" s="93">
        <v>44243</v>
      </c>
      <c r="AS325" s="92" t="s">
        <v>3457</v>
      </c>
      <c r="AT325" s="291">
        <v>44267</v>
      </c>
      <c r="AU325" s="290" t="s">
        <v>37</v>
      </c>
    </row>
    <row r="326" spans="1:47" ht="15.75" thickBot="1" x14ac:dyDescent="0.3">
      <c r="A326" s="336"/>
      <c r="B326" s="196"/>
      <c r="C326" s="96"/>
      <c r="D326" s="566"/>
      <c r="E326" s="593"/>
      <c r="F326" s="1051"/>
      <c r="G326" s="593"/>
      <c r="H326" s="107"/>
      <c r="I326" s="123"/>
      <c r="J326" s="84">
        <v>2355</v>
      </c>
      <c r="K326" s="396" t="s">
        <v>5212</v>
      </c>
      <c r="L326" s="908">
        <v>1861824.1886</v>
      </c>
      <c r="M326" s="908">
        <v>5537377.4164000005</v>
      </c>
      <c r="N326" s="109">
        <v>45</v>
      </c>
      <c r="O326" s="109" t="s">
        <v>5213</v>
      </c>
      <c r="P326" s="109" t="s">
        <v>194</v>
      </c>
      <c r="Q326" s="296"/>
      <c r="R326" s="296"/>
      <c r="S326" s="296"/>
      <c r="T326" s="295" t="s">
        <v>5588</v>
      </c>
      <c r="U326" s="294" t="s">
        <v>16</v>
      </c>
      <c r="V326" s="197" t="s">
        <v>85</v>
      </c>
      <c r="W326" s="197" t="s">
        <v>16</v>
      </c>
      <c r="X326" s="197" t="s">
        <v>194</v>
      </c>
      <c r="Y326" s="307" t="s">
        <v>5214</v>
      </c>
      <c r="Z326" s="92" t="s">
        <v>604</v>
      </c>
      <c r="AA326" s="197">
        <v>2</v>
      </c>
      <c r="AB326" s="307" t="s">
        <v>5156</v>
      </c>
      <c r="AC326" s="197">
        <v>12</v>
      </c>
      <c r="AD326" s="197"/>
      <c r="AE326" s="197"/>
      <c r="AF326" s="197">
        <v>10</v>
      </c>
      <c r="AG326" s="197"/>
      <c r="AH326" s="197"/>
      <c r="AI326" s="94" t="s">
        <v>256</v>
      </c>
      <c r="AJ326" s="197" t="s">
        <v>3459</v>
      </c>
      <c r="AK326" s="197"/>
      <c r="AL326" s="197"/>
      <c r="AM326" s="197"/>
      <c r="AN326" s="94" t="s">
        <v>5712</v>
      </c>
      <c r="AO326" s="292" t="s">
        <v>5699</v>
      </c>
      <c r="AP326" s="92" t="s">
        <v>1462</v>
      </c>
      <c r="AQ326" s="92" t="s">
        <v>3457</v>
      </c>
      <c r="AR326" s="93">
        <v>44320</v>
      </c>
      <c r="AS326" s="92" t="s">
        <v>3457</v>
      </c>
      <c r="AT326" s="291">
        <v>44321</v>
      </c>
      <c r="AU326" s="290" t="s">
        <v>37</v>
      </c>
    </row>
    <row r="327" spans="1:47" s="211" customFormat="1" ht="39.75" thickBot="1" x14ac:dyDescent="0.3">
      <c r="A327" s="334" t="s">
        <v>5883</v>
      </c>
      <c r="B327" s="333" t="s">
        <v>5883</v>
      </c>
      <c r="C327" s="84">
        <v>195</v>
      </c>
      <c r="D327" s="591" t="s">
        <v>57</v>
      </c>
      <c r="E327" s="591"/>
      <c r="F327" s="84" t="s">
        <v>4679</v>
      </c>
      <c r="G327" s="149" t="s">
        <v>1238</v>
      </c>
      <c r="H327" s="109" t="s">
        <v>5884</v>
      </c>
      <c r="I327" s="124" t="s">
        <v>5879</v>
      </c>
      <c r="J327" s="89">
        <v>894</v>
      </c>
      <c r="K327" s="396" t="s">
        <v>6290</v>
      </c>
      <c r="L327" s="265">
        <v>1917014.6040000001</v>
      </c>
      <c r="M327" s="265">
        <v>5777660.9018000001</v>
      </c>
      <c r="N327" s="109"/>
      <c r="O327" s="109" t="s">
        <v>5884</v>
      </c>
      <c r="P327" s="109" t="s">
        <v>193</v>
      </c>
      <c r="Q327" s="109"/>
      <c r="R327" s="109"/>
      <c r="S327" s="109"/>
      <c r="T327" s="343" t="s">
        <v>5884</v>
      </c>
      <c r="U327" s="169" t="s">
        <v>10</v>
      </c>
      <c r="V327" s="151" t="s">
        <v>16</v>
      </c>
      <c r="W327" s="151" t="s">
        <v>16</v>
      </c>
      <c r="X327" s="153" t="s">
        <v>194</v>
      </c>
      <c r="Y327" s="153" t="s">
        <v>6170</v>
      </c>
      <c r="Z327" s="152" t="s">
        <v>2882</v>
      </c>
      <c r="AA327" s="153">
        <v>1</v>
      </c>
      <c r="AB327" s="153" t="s">
        <v>6174</v>
      </c>
      <c r="AC327" s="151">
        <v>11.47</v>
      </c>
      <c r="AD327" s="151">
        <f>11.47-6.54</f>
        <v>4.9300000000000006</v>
      </c>
      <c r="AE327" s="151">
        <f>11.47+6.54</f>
        <v>18.010000000000002</v>
      </c>
      <c r="AF327" s="151"/>
      <c r="AG327" s="151"/>
      <c r="AH327" s="151"/>
      <c r="AI327" s="203" t="s">
        <v>256</v>
      </c>
      <c r="AJ327" s="202"/>
      <c r="AK327" s="202"/>
      <c r="AL327" s="442"/>
      <c r="AM327" s="442"/>
      <c r="AN327" s="203" t="s">
        <v>6084</v>
      </c>
      <c r="AO327" s="203" t="s">
        <v>6285</v>
      </c>
      <c r="AP327" s="152" t="s">
        <v>6121</v>
      </c>
      <c r="AQ327" s="152" t="s">
        <v>37</v>
      </c>
      <c r="AR327" s="170">
        <v>44316</v>
      </c>
      <c r="AS327" s="152" t="s">
        <v>37</v>
      </c>
      <c r="AT327" s="361"/>
      <c r="AU327" s="1112"/>
    </row>
    <row r="328" spans="1:47" s="211" customFormat="1" ht="39.75" thickBot="1" x14ac:dyDescent="0.3">
      <c r="A328" s="1036" t="s">
        <v>6293</v>
      </c>
      <c r="B328" s="537" t="s">
        <v>6293</v>
      </c>
      <c r="C328" s="210">
        <v>190</v>
      </c>
      <c r="D328" s="587" t="s">
        <v>57</v>
      </c>
      <c r="E328" s="587"/>
      <c r="F328" s="210" t="s">
        <v>4679</v>
      </c>
      <c r="G328" s="385" t="s">
        <v>1238</v>
      </c>
      <c r="H328" s="264" t="s">
        <v>6152</v>
      </c>
      <c r="I328" s="637" t="s">
        <v>5879</v>
      </c>
      <c r="J328" s="263">
        <v>891</v>
      </c>
      <c r="K328" s="467" t="s">
        <v>6783</v>
      </c>
      <c r="L328" s="918">
        <v>1919347.6662999999</v>
      </c>
      <c r="M328" s="918">
        <v>5785755.1338</v>
      </c>
      <c r="N328" s="264"/>
      <c r="O328" s="264" t="s">
        <v>6153</v>
      </c>
      <c r="P328" s="264" t="s">
        <v>193</v>
      </c>
      <c r="Q328" s="264"/>
      <c r="R328" s="264"/>
      <c r="S328" s="264"/>
      <c r="T328" s="1093" t="s">
        <v>6152</v>
      </c>
      <c r="U328" s="169" t="s">
        <v>10</v>
      </c>
      <c r="V328" s="151" t="s">
        <v>16</v>
      </c>
      <c r="W328" s="151" t="s">
        <v>16</v>
      </c>
      <c r="X328" s="153" t="s">
        <v>194</v>
      </c>
      <c r="Y328" s="153" t="s">
        <v>6154</v>
      </c>
      <c r="Z328" s="152" t="s">
        <v>6169</v>
      </c>
      <c r="AA328" s="153">
        <v>1</v>
      </c>
      <c r="AB328" s="153" t="s">
        <v>6138</v>
      </c>
      <c r="AC328" s="151">
        <v>9</v>
      </c>
      <c r="AD328" s="151">
        <v>8.9</v>
      </c>
      <c r="AE328" s="151">
        <v>9.1</v>
      </c>
      <c r="AF328" s="151"/>
      <c r="AG328" s="151"/>
      <c r="AH328" s="151"/>
      <c r="AI328" s="203" t="s">
        <v>256</v>
      </c>
      <c r="AJ328" s="202"/>
      <c r="AK328" s="202"/>
      <c r="AL328" s="442"/>
      <c r="AM328" s="442"/>
      <c r="AN328" s="203" t="s">
        <v>6084</v>
      </c>
      <c r="AO328" s="203" t="s">
        <v>6285</v>
      </c>
      <c r="AP328" s="152" t="s">
        <v>6121</v>
      </c>
      <c r="AQ328" s="152" t="s">
        <v>37</v>
      </c>
      <c r="AR328" s="170">
        <v>44316</v>
      </c>
      <c r="AS328" s="152" t="s">
        <v>37</v>
      </c>
      <c r="AT328" s="361"/>
      <c r="AU328" s="1112"/>
    </row>
    <row r="329" spans="1:47" ht="26.25" x14ac:dyDescent="0.25">
      <c r="A329" s="807" t="s">
        <v>5357</v>
      </c>
      <c r="B329" s="349" t="s">
        <v>6815</v>
      </c>
      <c r="C329" s="157">
        <v>271</v>
      </c>
      <c r="D329" s="592" t="s">
        <v>53</v>
      </c>
      <c r="E329" s="592"/>
      <c r="F329" s="157" t="s">
        <v>389</v>
      </c>
      <c r="G329" s="157" t="s">
        <v>1974</v>
      </c>
      <c r="H329" s="159" t="s">
        <v>5569</v>
      </c>
      <c r="I329" s="450" t="s">
        <v>150</v>
      </c>
      <c r="J329" s="193">
        <v>2506</v>
      </c>
      <c r="K329" s="433" t="s">
        <v>5452</v>
      </c>
      <c r="L329" s="924">
        <v>1917553.5607</v>
      </c>
      <c r="M329" s="924">
        <v>5661072.7555</v>
      </c>
      <c r="N329" s="159">
        <v>20</v>
      </c>
      <c r="O329" s="159" t="s">
        <v>5453</v>
      </c>
      <c r="P329" s="157" t="s">
        <v>5</v>
      </c>
      <c r="Q329" s="159"/>
      <c r="R329" s="159"/>
      <c r="S329" s="159"/>
      <c r="T329" s="480" t="s">
        <v>5713</v>
      </c>
      <c r="U329" s="101" t="s">
        <v>16</v>
      </c>
      <c r="V329" s="31" t="s">
        <v>85</v>
      </c>
      <c r="W329" s="31" t="s">
        <v>16</v>
      </c>
      <c r="X329" s="31" t="s">
        <v>5</v>
      </c>
      <c r="Y329" s="130" t="s">
        <v>1610</v>
      </c>
      <c r="Z329" s="40" t="s">
        <v>341</v>
      </c>
      <c r="AA329" s="31">
        <v>2</v>
      </c>
      <c r="AB329" s="130" t="s">
        <v>5156</v>
      </c>
      <c r="AC329" s="31">
        <v>12</v>
      </c>
      <c r="AD329" s="31"/>
      <c r="AE329" s="31"/>
      <c r="AF329" s="31">
        <v>10</v>
      </c>
      <c r="AG329" s="372"/>
      <c r="AH329" s="372"/>
      <c r="AI329" s="30" t="s">
        <v>256</v>
      </c>
      <c r="AJ329" s="31" t="s">
        <v>3459</v>
      </c>
      <c r="AK329" s="31"/>
      <c r="AL329" s="372"/>
      <c r="AM329" s="372"/>
      <c r="AN329" s="40" t="s">
        <v>5454</v>
      </c>
      <c r="AO329" s="286" t="s">
        <v>5699</v>
      </c>
      <c r="AP329" s="40" t="s">
        <v>1462</v>
      </c>
      <c r="AQ329" s="40" t="s">
        <v>3457</v>
      </c>
      <c r="AR329" s="41">
        <v>44229</v>
      </c>
      <c r="AS329" s="40" t="s">
        <v>3457</v>
      </c>
      <c r="AT329" s="41">
        <v>44267</v>
      </c>
      <c r="AU329" s="652" t="s">
        <v>37</v>
      </c>
    </row>
    <row r="330" spans="1:47" ht="39" x14ac:dyDescent="0.25">
      <c r="A330" s="808"/>
      <c r="B330" s="474"/>
      <c r="C330" s="436"/>
      <c r="D330" s="576"/>
      <c r="E330" s="576"/>
      <c r="F330" s="436"/>
      <c r="G330" s="436"/>
      <c r="H330" s="583"/>
      <c r="I330" s="423"/>
      <c r="J330" s="194">
        <v>2507</v>
      </c>
      <c r="K330" s="475" t="s">
        <v>5455</v>
      </c>
      <c r="L330" s="937">
        <v>1915776.7128999999</v>
      </c>
      <c r="M330" s="937">
        <v>5658656.7059000004</v>
      </c>
      <c r="N330" s="583">
        <v>20</v>
      </c>
      <c r="O330" s="583" t="s">
        <v>5456</v>
      </c>
      <c r="P330" s="436" t="s">
        <v>194</v>
      </c>
      <c r="Q330" s="1094"/>
      <c r="R330" s="1094"/>
      <c r="S330" s="1094"/>
      <c r="T330" s="175" t="s">
        <v>5714</v>
      </c>
      <c r="U330" s="102" t="s">
        <v>16</v>
      </c>
      <c r="V330" s="2" t="s">
        <v>16</v>
      </c>
      <c r="W330" s="2" t="s">
        <v>16</v>
      </c>
      <c r="X330" s="2" t="s">
        <v>194</v>
      </c>
      <c r="Y330" s="148" t="s">
        <v>5457</v>
      </c>
      <c r="Z330" s="445" t="s">
        <v>1239</v>
      </c>
      <c r="AA330" s="2">
        <v>1</v>
      </c>
      <c r="AB330" s="148" t="s">
        <v>5458</v>
      </c>
      <c r="AC330" s="2">
        <v>4.5</v>
      </c>
      <c r="AF330" s="2">
        <v>2.5</v>
      </c>
      <c r="AI330" s="45" t="s">
        <v>256</v>
      </c>
      <c r="AJ330" s="2" t="s">
        <v>3459</v>
      </c>
      <c r="AK330" s="2"/>
      <c r="AN330" s="3" t="s">
        <v>5717</v>
      </c>
      <c r="AO330" s="3" t="s">
        <v>6296</v>
      </c>
      <c r="AP330" s="3" t="s">
        <v>1462</v>
      </c>
      <c r="AQ330" s="3" t="s">
        <v>3457</v>
      </c>
      <c r="AR330" s="186">
        <v>44320</v>
      </c>
      <c r="AS330" s="3" t="s">
        <v>3457</v>
      </c>
      <c r="AT330" s="186">
        <v>44321</v>
      </c>
      <c r="AU330" s="1107" t="s">
        <v>37</v>
      </c>
    </row>
    <row r="331" spans="1:47" ht="39" x14ac:dyDescent="0.25">
      <c r="A331" s="808"/>
      <c r="B331" s="474"/>
      <c r="C331" s="436"/>
      <c r="D331" s="576"/>
      <c r="E331" s="576"/>
      <c r="F331" s="436"/>
      <c r="G331" s="436"/>
      <c r="H331" s="583"/>
      <c r="I331" s="423"/>
      <c r="J331" s="194">
        <v>2508</v>
      </c>
      <c r="K331" s="475" t="s">
        <v>5459</v>
      </c>
      <c r="L331" s="937">
        <v>1913201.0462</v>
      </c>
      <c r="M331" s="937">
        <v>5653604.2874999996</v>
      </c>
      <c r="N331" s="583">
        <v>20</v>
      </c>
      <c r="O331" s="583" t="s">
        <v>3568</v>
      </c>
      <c r="P331" s="436" t="s">
        <v>194</v>
      </c>
      <c r="Q331" s="1094"/>
      <c r="R331" s="1094"/>
      <c r="S331" s="1094"/>
      <c r="T331" s="175" t="s">
        <v>5715</v>
      </c>
      <c r="U331" s="102" t="s">
        <v>16</v>
      </c>
      <c r="V331" s="2" t="s">
        <v>85</v>
      </c>
      <c r="W331" s="2" t="s">
        <v>16</v>
      </c>
      <c r="X331" s="2" t="s">
        <v>194</v>
      </c>
      <c r="Y331" s="148" t="s">
        <v>5460</v>
      </c>
      <c r="Z331" s="3" t="s">
        <v>604</v>
      </c>
      <c r="AA331" s="2">
        <v>2</v>
      </c>
      <c r="AB331" s="148" t="s">
        <v>5156</v>
      </c>
      <c r="AC331" s="2">
        <v>12</v>
      </c>
      <c r="AF331" s="2">
        <v>10</v>
      </c>
      <c r="AI331" s="45" t="s">
        <v>256</v>
      </c>
      <c r="AJ331" s="2" t="s">
        <v>3459</v>
      </c>
      <c r="AK331" s="2"/>
      <c r="AN331" s="3" t="s">
        <v>5718</v>
      </c>
      <c r="AO331" s="280" t="s">
        <v>5720</v>
      </c>
      <c r="AP331" s="3" t="s">
        <v>1462</v>
      </c>
      <c r="AQ331" s="3" t="s">
        <v>3457</v>
      </c>
      <c r="AR331" s="186">
        <v>44246</v>
      </c>
      <c r="AS331" s="3" t="s">
        <v>3457</v>
      </c>
      <c r="AT331" s="186">
        <v>44267</v>
      </c>
      <c r="AU331" s="1107" t="s">
        <v>37</v>
      </c>
    </row>
    <row r="332" spans="1:47" ht="15.75" thickBot="1" x14ac:dyDescent="0.3">
      <c r="A332" s="808"/>
      <c r="B332" s="474"/>
      <c r="C332" s="436"/>
      <c r="D332" s="576"/>
      <c r="E332" s="576"/>
      <c r="F332" s="436"/>
      <c r="G332" s="436"/>
      <c r="H332" s="583"/>
      <c r="I332" s="423"/>
      <c r="J332" s="194">
        <v>2509</v>
      </c>
      <c r="K332" s="475" t="s">
        <v>5461</v>
      </c>
      <c r="L332" s="937">
        <v>1904063.6429000001</v>
      </c>
      <c r="M332" s="937">
        <v>5637670.7403999995</v>
      </c>
      <c r="N332" s="583">
        <v>10</v>
      </c>
      <c r="O332" s="583" t="s">
        <v>5462</v>
      </c>
      <c r="P332" s="436" t="s">
        <v>5</v>
      </c>
      <c r="Q332" s="1094"/>
      <c r="R332" s="1094"/>
      <c r="S332" s="1094"/>
      <c r="T332" s="175" t="s">
        <v>5462</v>
      </c>
      <c r="U332" s="102" t="s">
        <v>16</v>
      </c>
      <c r="V332" s="2" t="s">
        <v>16</v>
      </c>
      <c r="W332" s="2" t="s">
        <v>16</v>
      </c>
      <c r="X332" s="2" t="s">
        <v>5</v>
      </c>
      <c r="Y332" s="148" t="s">
        <v>5463</v>
      </c>
      <c r="Z332" s="3" t="s">
        <v>798</v>
      </c>
      <c r="AA332" s="2">
        <v>1</v>
      </c>
      <c r="AB332" s="148" t="s">
        <v>5464</v>
      </c>
      <c r="AC332" s="2">
        <v>12</v>
      </c>
      <c r="AF332" s="2">
        <v>10.1</v>
      </c>
      <c r="AI332" s="16" t="s">
        <v>1239</v>
      </c>
      <c r="AJ332" s="2" t="s">
        <v>3459</v>
      </c>
      <c r="AK332" s="2"/>
      <c r="AN332" s="16" t="s">
        <v>5465</v>
      </c>
      <c r="AO332" s="3" t="s">
        <v>5721</v>
      </c>
      <c r="AP332" s="3" t="s">
        <v>5333</v>
      </c>
      <c r="AQ332" s="3" t="s">
        <v>3457</v>
      </c>
      <c r="AR332" s="186">
        <v>44246</v>
      </c>
      <c r="AS332" s="3" t="s">
        <v>3457</v>
      </c>
      <c r="AT332" s="186">
        <v>44267</v>
      </c>
      <c r="AU332" s="1107" t="s">
        <v>37</v>
      </c>
    </row>
    <row r="333" spans="1:47" ht="77.25" x14ac:dyDescent="0.25">
      <c r="A333" s="341" t="s">
        <v>5357</v>
      </c>
      <c r="B333" s="181" t="s">
        <v>6818</v>
      </c>
      <c r="C333" s="125">
        <v>272</v>
      </c>
      <c r="D333" s="585" t="s">
        <v>53</v>
      </c>
      <c r="E333" s="585" t="s">
        <v>52</v>
      </c>
      <c r="F333" s="125" t="s">
        <v>152</v>
      </c>
      <c r="G333" s="125" t="s">
        <v>1972</v>
      </c>
      <c r="H333" s="126" t="s">
        <v>2244</v>
      </c>
      <c r="I333" s="247" t="s">
        <v>5567</v>
      </c>
      <c r="J333" s="125">
        <v>2308</v>
      </c>
      <c r="K333" s="355" t="s">
        <v>5397</v>
      </c>
      <c r="L333" s="911">
        <v>1855507.4298</v>
      </c>
      <c r="M333" s="911">
        <v>5551571.1907000002</v>
      </c>
      <c r="N333" s="126">
        <v>10</v>
      </c>
      <c r="O333" s="126" t="s">
        <v>5398</v>
      </c>
      <c r="P333" s="125" t="s">
        <v>5</v>
      </c>
      <c r="Q333" s="126"/>
      <c r="R333" s="126"/>
      <c r="S333" s="126"/>
      <c r="T333" s="344" t="s">
        <v>5759</v>
      </c>
      <c r="U333" s="101" t="s">
        <v>16</v>
      </c>
      <c r="V333" s="31" t="s">
        <v>85</v>
      </c>
      <c r="W333" s="31" t="s">
        <v>16</v>
      </c>
      <c r="X333" s="31" t="s">
        <v>5</v>
      </c>
      <c r="Y333" s="130" t="s">
        <v>5399</v>
      </c>
      <c r="Z333" s="40" t="s">
        <v>798</v>
      </c>
      <c r="AA333" s="31">
        <v>2</v>
      </c>
      <c r="AB333" s="340" t="s">
        <v>5156</v>
      </c>
      <c r="AC333" s="31">
        <v>12</v>
      </c>
      <c r="AD333" s="31"/>
      <c r="AE333" s="31"/>
      <c r="AF333" s="31">
        <v>10</v>
      </c>
      <c r="AG333" s="372"/>
      <c r="AH333" s="372"/>
      <c r="AI333" s="30" t="s">
        <v>256</v>
      </c>
      <c r="AJ333" s="31" t="s">
        <v>3459</v>
      </c>
      <c r="AK333" s="31"/>
      <c r="AL333" s="372"/>
      <c r="AM333" s="372"/>
      <c r="AN333" s="40" t="s">
        <v>5762</v>
      </c>
      <c r="AO333" s="286" t="s">
        <v>5699</v>
      </c>
      <c r="AP333" s="40" t="s">
        <v>1462</v>
      </c>
      <c r="AQ333" s="40" t="s">
        <v>3457</v>
      </c>
      <c r="AR333" s="41">
        <v>44246</v>
      </c>
      <c r="AS333" s="40" t="s">
        <v>3457</v>
      </c>
      <c r="AT333" s="41">
        <v>44267</v>
      </c>
      <c r="AU333" s="652" t="s">
        <v>37</v>
      </c>
    </row>
    <row r="334" spans="1:47" ht="26.25" x14ac:dyDescent="0.25">
      <c r="A334" s="339"/>
      <c r="B334" s="116"/>
      <c r="C334" s="95"/>
      <c r="D334" s="567"/>
      <c r="E334" s="567"/>
      <c r="F334" s="95"/>
      <c r="G334" s="95"/>
      <c r="H334" s="108"/>
      <c r="I334" s="122"/>
      <c r="J334" s="95">
        <v>2400</v>
      </c>
      <c r="K334" s="356" t="s">
        <v>5400</v>
      </c>
      <c r="L334" s="938">
        <v>1876984.7419</v>
      </c>
      <c r="M334" s="938">
        <v>5586894.0950999996</v>
      </c>
      <c r="N334" s="276">
        <v>24</v>
      </c>
      <c r="O334" s="276" t="s">
        <v>5401</v>
      </c>
      <c r="P334" s="277" t="s">
        <v>5</v>
      </c>
      <c r="Q334" s="276"/>
      <c r="R334" s="276"/>
      <c r="S334" s="276"/>
      <c r="T334" s="184" t="s">
        <v>5760</v>
      </c>
      <c r="U334" s="102" t="s">
        <v>10</v>
      </c>
      <c r="V334" s="2" t="s">
        <v>16</v>
      </c>
      <c r="W334" s="2" t="s">
        <v>16</v>
      </c>
      <c r="X334" s="2" t="s">
        <v>5</v>
      </c>
      <c r="Y334" s="148" t="s">
        <v>5402</v>
      </c>
      <c r="Z334" s="3" t="s">
        <v>5750</v>
      </c>
      <c r="AA334" s="2">
        <v>2</v>
      </c>
      <c r="AB334" s="148" t="s">
        <v>5156</v>
      </c>
      <c r="AC334" s="2">
        <v>12</v>
      </c>
      <c r="AF334" s="2">
        <v>10</v>
      </c>
      <c r="AI334" s="16" t="s">
        <v>256</v>
      </c>
      <c r="AJ334" s="2" t="s">
        <v>3459</v>
      </c>
      <c r="AK334" s="2"/>
      <c r="AN334" s="16" t="s">
        <v>5763</v>
      </c>
      <c r="AO334" s="280" t="s">
        <v>5745</v>
      </c>
      <c r="AP334" s="3" t="s">
        <v>5403</v>
      </c>
      <c r="AQ334" s="3" t="s">
        <v>3457</v>
      </c>
      <c r="AR334" s="186">
        <v>44230</v>
      </c>
      <c r="AS334" s="3" t="s">
        <v>3457</v>
      </c>
      <c r="AT334" s="186">
        <v>44267</v>
      </c>
      <c r="AU334" s="1107" t="s">
        <v>37</v>
      </c>
    </row>
    <row r="335" spans="1:47" ht="26.25" x14ac:dyDescent="0.25">
      <c r="A335" s="339"/>
      <c r="B335" s="116"/>
      <c r="C335" s="95"/>
      <c r="D335" s="567"/>
      <c r="E335" s="567"/>
      <c r="F335" s="95"/>
      <c r="G335" s="95"/>
      <c r="H335" s="108"/>
      <c r="I335" s="122"/>
      <c r="J335" s="95">
        <v>2401</v>
      </c>
      <c r="K335" s="356" t="s">
        <v>5404</v>
      </c>
      <c r="L335" s="938">
        <v>1874143.5255</v>
      </c>
      <c r="M335" s="938">
        <v>5581147.0164000001</v>
      </c>
      <c r="N335" s="276">
        <v>20</v>
      </c>
      <c r="O335" s="276" t="s">
        <v>5405</v>
      </c>
      <c r="P335" s="276" t="s">
        <v>5</v>
      </c>
      <c r="Q335" s="276"/>
      <c r="R335" s="276"/>
      <c r="S335" s="276"/>
      <c r="T335" s="184" t="s">
        <v>5761</v>
      </c>
      <c r="U335" s="102" t="s">
        <v>16</v>
      </c>
      <c r="V335" s="2" t="s">
        <v>16</v>
      </c>
      <c r="W335" s="2" t="s">
        <v>16</v>
      </c>
      <c r="X335" s="185" t="s">
        <v>5</v>
      </c>
      <c r="Y335" s="337" t="s">
        <v>5406</v>
      </c>
      <c r="Z335" s="3" t="s">
        <v>5751</v>
      </c>
      <c r="AA335" s="185">
        <v>2</v>
      </c>
      <c r="AB335" s="148" t="s">
        <v>5156</v>
      </c>
      <c r="AC335" s="2">
        <v>12</v>
      </c>
      <c r="AF335" s="2">
        <v>10</v>
      </c>
      <c r="AI335" s="16" t="s">
        <v>256</v>
      </c>
      <c r="AJ335" s="2" t="s">
        <v>3459</v>
      </c>
      <c r="AK335" s="2"/>
      <c r="AN335" s="3" t="s">
        <v>5736</v>
      </c>
      <c r="AO335" s="280" t="s">
        <v>5699</v>
      </c>
      <c r="AP335" s="3" t="s">
        <v>5403</v>
      </c>
      <c r="AQ335" s="3" t="s">
        <v>3457</v>
      </c>
      <c r="AR335" s="186">
        <v>44230</v>
      </c>
      <c r="AS335" s="3" t="s">
        <v>3457</v>
      </c>
      <c r="AT335" s="186">
        <v>44267</v>
      </c>
      <c r="AU335" s="1107" t="s">
        <v>37</v>
      </c>
    </row>
    <row r="336" spans="1:47" ht="26.25" x14ac:dyDescent="0.25">
      <c r="A336" s="339"/>
      <c r="B336" s="116"/>
      <c r="C336" s="95"/>
      <c r="D336" s="567"/>
      <c r="E336" s="567"/>
      <c r="F336" s="95"/>
      <c r="G336" s="95"/>
      <c r="H336" s="108"/>
      <c r="I336" s="122"/>
      <c r="J336" s="95">
        <v>2402</v>
      </c>
      <c r="K336" s="356" t="s">
        <v>5407</v>
      </c>
      <c r="L336" s="938">
        <v>1879880.0245999999</v>
      </c>
      <c r="M336" s="938">
        <v>5592748.8376000002</v>
      </c>
      <c r="N336" s="276">
        <v>26</v>
      </c>
      <c r="O336" s="276" t="s">
        <v>5408</v>
      </c>
      <c r="P336" s="276" t="s">
        <v>5</v>
      </c>
      <c r="Q336" s="276"/>
      <c r="R336" s="276"/>
      <c r="S336" s="276"/>
      <c r="T336" s="184" t="s">
        <v>5723</v>
      </c>
      <c r="U336" s="102" t="s">
        <v>16</v>
      </c>
      <c r="V336" s="2" t="s">
        <v>85</v>
      </c>
      <c r="W336" s="2" t="s">
        <v>16</v>
      </c>
      <c r="X336" s="185" t="s">
        <v>5</v>
      </c>
      <c r="Y336" s="337" t="s">
        <v>1772</v>
      </c>
      <c r="Z336" s="3" t="s">
        <v>5409</v>
      </c>
      <c r="AA336" s="185">
        <v>2</v>
      </c>
      <c r="AB336" s="148" t="s">
        <v>5156</v>
      </c>
      <c r="AC336" s="2">
        <v>12</v>
      </c>
      <c r="AF336" s="2">
        <v>10</v>
      </c>
      <c r="AI336" s="16" t="s">
        <v>256</v>
      </c>
      <c r="AJ336" s="2" t="s">
        <v>3459</v>
      </c>
      <c r="AK336" s="2"/>
      <c r="AN336" s="3" t="s">
        <v>5735</v>
      </c>
      <c r="AO336" s="280" t="s">
        <v>5699</v>
      </c>
      <c r="AP336" s="3" t="s">
        <v>5403</v>
      </c>
      <c r="AQ336" s="3" t="s">
        <v>3457</v>
      </c>
      <c r="AR336" s="186">
        <v>44246</v>
      </c>
      <c r="AS336" s="3" t="s">
        <v>3457</v>
      </c>
      <c r="AT336" s="186">
        <v>44267</v>
      </c>
      <c r="AU336" s="1107" t="s">
        <v>37</v>
      </c>
    </row>
    <row r="337" spans="1:47" ht="26.25" x14ac:dyDescent="0.25">
      <c r="A337" s="339"/>
      <c r="B337" s="116"/>
      <c r="C337" s="95"/>
      <c r="D337" s="567"/>
      <c r="E337" s="567"/>
      <c r="F337" s="95"/>
      <c r="G337" s="95"/>
      <c r="H337" s="108"/>
      <c r="I337" s="122"/>
      <c r="J337" s="95">
        <v>2403</v>
      </c>
      <c r="K337" s="356" t="s">
        <v>5410</v>
      </c>
      <c r="L337" s="938">
        <v>1879734.3991</v>
      </c>
      <c r="M337" s="938">
        <v>5592505.8174000001</v>
      </c>
      <c r="N337" s="276">
        <v>26</v>
      </c>
      <c r="O337" s="276" t="s">
        <v>5408</v>
      </c>
      <c r="P337" s="276" t="s">
        <v>5</v>
      </c>
      <c r="Q337" s="276"/>
      <c r="R337" s="276"/>
      <c r="S337" s="276"/>
      <c r="T337" s="184" t="s">
        <v>5723</v>
      </c>
      <c r="U337" s="102" t="s">
        <v>16</v>
      </c>
      <c r="V337" s="2" t="s">
        <v>85</v>
      </c>
      <c r="W337" s="2" t="s">
        <v>16</v>
      </c>
      <c r="X337" s="185" t="s">
        <v>5</v>
      </c>
      <c r="Y337" s="337" t="s">
        <v>1772</v>
      </c>
      <c r="Z337" s="3" t="s">
        <v>5752</v>
      </c>
      <c r="AA337" s="185">
        <v>2</v>
      </c>
      <c r="AB337" s="148" t="s">
        <v>5156</v>
      </c>
      <c r="AC337" s="2">
        <v>12</v>
      </c>
      <c r="AF337" s="2">
        <v>10</v>
      </c>
      <c r="AI337" s="16" t="s">
        <v>256</v>
      </c>
      <c r="AJ337" s="2" t="s">
        <v>3459</v>
      </c>
      <c r="AK337" s="2"/>
      <c r="AN337" s="3" t="s">
        <v>5736</v>
      </c>
      <c r="AO337" s="280" t="s">
        <v>5699</v>
      </c>
      <c r="AP337" s="3" t="s">
        <v>5403</v>
      </c>
      <c r="AQ337" s="3" t="s">
        <v>3457</v>
      </c>
      <c r="AR337" s="186">
        <v>44246</v>
      </c>
      <c r="AS337" s="3" t="s">
        <v>3457</v>
      </c>
      <c r="AT337" s="186">
        <v>44267</v>
      </c>
      <c r="AU337" s="1107" t="s">
        <v>37</v>
      </c>
    </row>
    <row r="338" spans="1:47" ht="26.25" x14ac:dyDescent="0.25">
      <c r="A338" s="339"/>
      <c r="B338" s="116"/>
      <c r="C338" s="95"/>
      <c r="D338" s="567"/>
      <c r="E338" s="567"/>
      <c r="F338" s="95"/>
      <c r="G338" s="95"/>
      <c r="H338" s="108"/>
      <c r="I338" s="122"/>
      <c r="J338" s="95">
        <v>2404</v>
      </c>
      <c r="K338" s="356" t="s">
        <v>5411</v>
      </c>
      <c r="L338" s="938">
        <v>1879652.4794000001</v>
      </c>
      <c r="M338" s="938">
        <v>5592371.3707999997</v>
      </c>
      <c r="N338" s="276">
        <v>26</v>
      </c>
      <c r="O338" s="276" t="s">
        <v>5412</v>
      </c>
      <c r="P338" s="276" t="s">
        <v>5</v>
      </c>
      <c r="Q338" s="276"/>
      <c r="R338" s="276"/>
      <c r="S338" s="276"/>
      <c r="T338" s="184" t="s">
        <v>5724</v>
      </c>
      <c r="U338" s="102" t="s">
        <v>10</v>
      </c>
      <c r="V338" s="2" t="s">
        <v>85</v>
      </c>
      <c r="W338" s="2" t="s">
        <v>16</v>
      </c>
      <c r="X338" s="185" t="s">
        <v>5</v>
      </c>
      <c r="Y338" s="337" t="s">
        <v>5414</v>
      </c>
      <c r="Z338" s="3" t="s">
        <v>5752</v>
      </c>
      <c r="AA338" s="2">
        <v>2</v>
      </c>
      <c r="AB338" s="148" t="s">
        <v>5156</v>
      </c>
      <c r="AC338" s="2">
        <v>12</v>
      </c>
      <c r="AF338" s="2">
        <v>10</v>
      </c>
      <c r="AI338" s="16" t="s">
        <v>256</v>
      </c>
      <c r="AJ338" s="2" t="s">
        <v>3459</v>
      </c>
      <c r="AK338" s="2"/>
      <c r="AN338" s="3" t="s">
        <v>6935</v>
      </c>
      <c r="AO338" s="280" t="s">
        <v>5699</v>
      </c>
      <c r="AP338" s="3" t="s">
        <v>6936</v>
      </c>
      <c r="AQ338" s="3" t="s">
        <v>3457</v>
      </c>
      <c r="AR338" s="186">
        <v>44246</v>
      </c>
      <c r="AS338" s="3" t="s">
        <v>3457</v>
      </c>
      <c r="AT338" s="186">
        <v>44267</v>
      </c>
      <c r="AU338" s="1107" t="s">
        <v>37</v>
      </c>
    </row>
    <row r="339" spans="1:47" ht="26.25" x14ac:dyDescent="0.25">
      <c r="A339" s="339"/>
      <c r="B339" s="116"/>
      <c r="C339" s="95"/>
      <c r="D339" s="567"/>
      <c r="E339" s="567"/>
      <c r="F339" s="95"/>
      <c r="G339" s="95"/>
      <c r="H339" s="108"/>
      <c r="I339" s="122"/>
      <c r="J339" s="95">
        <v>2405</v>
      </c>
      <c r="K339" s="356" t="s">
        <v>5415</v>
      </c>
      <c r="L339" s="938">
        <v>1875706.1575</v>
      </c>
      <c r="M339" s="938">
        <v>5584141.2120000003</v>
      </c>
      <c r="N339" s="276">
        <v>23</v>
      </c>
      <c r="O339" s="276" t="s">
        <v>5416</v>
      </c>
      <c r="P339" s="276" t="s">
        <v>5</v>
      </c>
      <c r="Q339" s="276"/>
      <c r="R339" s="276"/>
      <c r="S339" s="276"/>
      <c r="T339" s="184" t="s">
        <v>5725</v>
      </c>
      <c r="U339" s="102" t="s">
        <v>16</v>
      </c>
      <c r="V339" s="2" t="s">
        <v>85</v>
      </c>
      <c r="W339" s="2" t="s">
        <v>16</v>
      </c>
      <c r="X339" s="185" t="s">
        <v>5</v>
      </c>
      <c r="Y339" s="337" t="s">
        <v>5417</v>
      </c>
      <c r="Z339" s="3" t="s">
        <v>5753</v>
      </c>
      <c r="AA339" s="2">
        <v>2</v>
      </c>
      <c r="AB339" s="148" t="s">
        <v>5156</v>
      </c>
      <c r="AC339" s="2">
        <v>12</v>
      </c>
      <c r="AF339" s="2">
        <v>10</v>
      </c>
      <c r="AI339" s="16" t="s">
        <v>256</v>
      </c>
      <c r="AJ339" s="148" t="s">
        <v>3459</v>
      </c>
      <c r="AK339" s="2"/>
      <c r="AN339" s="3" t="s">
        <v>5737</v>
      </c>
      <c r="AO339" s="280" t="s">
        <v>5699</v>
      </c>
      <c r="AP339" s="3" t="s">
        <v>1462</v>
      </c>
      <c r="AQ339" s="3" t="s">
        <v>3457</v>
      </c>
      <c r="AR339" s="186">
        <v>44230</v>
      </c>
      <c r="AS339" s="3" t="s">
        <v>3457</v>
      </c>
      <c r="AT339" s="186">
        <v>44267</v>
      </c>
      <c r="AU339" s="1107" t="s">
        <v>37</v>
      </c>
    </row>
    <row r="340" spans="1:47" ht="39" x14ac:dyDescent="0.25">
      <c r="A340" s="339"/>
      <c r="B340" s="116"/>
      <c r="C340" s="95"/>
      <c r="D340" s="567"/>
      <c r="E340" s="567"/>
      <c r="F340" s="95"/>
      <c r="G340" s="95"/>
      <c r="H340" s="108"/>
      <c r="I340" s="122"/>
      <c r="J340" s="95">
        <v>2406</v>
      </c>
      <c r="K340" s="356" t="s">
        <v>5418</v>
      </c>
      <c r="L340" s="938">
        <v>1878888.9007000001</v>
      </c>
      <c r="M340" s="938">
        <v>5590170.8814000003</v>
      </c>
      <c r="N340" s="276">
        <v>24</v>
      </c>
      <c r="O340" s="276" t="s">
        <v>5419</v>
      </c>
      <c r="P340" s="276" t="s">
        <v>5</v>
      </c>
      <c r="Q340" s="276"/>
      <c r="R340" s="276"/>
      <c r="S340" s="276"/>
      <c r="T340" s="184" t="s">
        <v>5726</v>
      </c>
      <c r="U340" s="102" t="s">
        <v>16</v>
      </c>
      <c r="V340" s="2" t="s">
        <v>85</v>
      </c>
      <c r="W340" s="2" t="s">
        <v>16</v>
      </c>
      <c r="X340" s="185" t="s">
        <v>5</v>
      </c>
      <c r="Y340" s="337" t="s">
        <v>5420</v>
      </c>
      <c r="Z340" s="3" t="s">
        <v>798</v>
      </c>
      <c r="AA340" s="2">
        <v>1</v>
      </c>
      <c r="AB340" s="148" t="s">
        <v>5156</v>
      </c>
      <c r="AC340" s="2">
        <v>12</v>
      </c>
      <c r="AF340" s="2">
        <v>10</v>
      </c>
      <c r="AI340" s="16" t="s">
        <v>256</v>
      </c>
      <c r="AJ340" s="148" t="s">
        <v>3459</v>
      </c>
      <c r="AK340" s="2"/>
      <c r="AN340" s="3" t="s">
        <v>5738</v>
      </c>
      <c r="AO340" s="280" t="s">
        <v>5699</v>
      </c>
      <c r="AP340" s="3" t="s">
        <v>1462</v>
      </c>
      <c r="AQ340" s="3" t="s">
        <v>3457</v>
      </c>
      <c r="AR340" s="186">
        <v>44246</v>
      </c>
      <c r="AS340" s="3" t="s">
        <v>3457</v>
      </c>
      <c r="AT340" s="186">
        <v>44267</v>
      </c>
      <c r="AU340" s="1107" t="s">
        <v>37</v>
      </c>
    </row>
    <row r="341" spans="1:47" ht="26.25" x14ac:dyDescent="0.25">
      <c r="A341" s="339"/>
      <c r="B341" s="116"/>
      <c r="C341" s="95"/>
      <c r="D341" s="567"/>
      <c r="E341" s="567"/>
      <c r="F341" s="95"/>
      <c r="G341" s="95"/>
      <c r="H341" s="108"/>
      <c r="I341" s="122"/>
      <c r="J341" s="95">
        <v>2419</v>
      </c>
      <c r="K341" s="356" t="s">
        <v>5421</v>
      </c>
      <c r="L341" s="938">
        <v>1873979.5826999999</v>
      </c>
      <c r="M341" s="938">
        <v>5580889.1666000001</v>
      </c>
      <c r="N341" s="276">
        <v>21</v>
      </c>
      <c r="O341" s="276" t="s">
        <v>6297</v>
      </c>
      <c r="P341" s="276" t="s">
        <v>5</v>
      </c>
      <c r="Q341" s="276"/>
      <c r="R341" s="276"/>
      <c r="S341" s="276"/>
      <c r="T341" s="184" t="s">
        <v>6298</v>
      </c>
      <c r="U341" s="102" t="s">
        <v>16</v>
      </c>
      <c r="V341" s="2" t="s">
        <v>85</v>
      </c>
      <c r="W341" s="2" t="s">
        <v>16</v>
      </c>
      <c r="X341" s="185" t="s">
        <v>5</v>
      </c>
      <c r="Y341" s="337" t="s">
        <v>5168</v>
      </c>
      <c r="Z341" s="3" t="s">
        <v>5754</v>
      </c>
      <c r="AA341" s="2">
        <v>2</v>
      </c>
      <c r="AB341" s="148" t="s">
        <v>6299</v>
      </c>
      <c r="AD341" s="2">
        <v>1.204</v>
      </c>
      <c r="AE341" s="2">
        <v>1.3140000000000001</v>
      </c>
      <c r="AI341" s="444" t="s">
        <v>549</v>
      </c>
      <c r="AJ341" s="148" t="s">
        <v>3459</v>
      </c>
      <c r="AK341" s="2"/>
      <c r="AN341" s="3" t="s">
        <v>6301</v>
      </c>
      <c r="AO341" s="280" t="s">
        <v>6300</v>
      </c>
      <c r="AP341" s="3" t="s">
        <v>6973</v>
      </c>
      <c r="AQ341" s="3" t="s">
        <v>3457</v>
      </c>
      <c r="AR341" s="186">
        <v>44320</v>
      </c>
      <c r="AS341" s="3" t="s">
        <v>3457</v>
      </c>
      <c r="AT341" s="186">
        <v>44321</v>
      </c>
      <c r="AU341" s="1107" t="s">
        <v>37</v>
      </c>
    </row>
    <row r="342" spans="1:47" ht="39" x14ac:dyDescent="0.25">
      <c r="A342" s="339"/>
      <c r="B342" s="116"/>
      <c r="C342" s="95"/>
      <c r="D342" s="567"/>
      <c r="E342" s="567"/>
      <c r="F342" s="95"/>
      <c r="G342" s="95"/>
      <c r="H342" s="108"/>
      <c r="I342" s="122"/>
      <c r="J342" s="95">
        <v>2408</v>
      </c>
      <c r="K342" s="356" t="s">
        <v>5422</v>
      </c>
      <c r="L342" s="938">
        <v>1874891.4442</v>
      </c>
      <c r="M342" s="938">
        <v>5582737.2235000003</v>
      </c>
      <c r="N342" s="276">
        <v>24</v>
      </c>
      <c r="O342" s="276" t="s">
        <v>5413</v>
      </c>
      <c r="P342" s="276" t="s">
        <v>5</v>
      </c>
      <c r="Q342" s="276"/>
      <c r="R342" s="276"/>
      <c r="S342" s="276"/>
      <c r="T342" s="184" t="s">
        <v>5724</v>
      </c>
      <c r="U342" s="102" t="s">
        <v>16</v>
      </c>
      <c r="V342" s="2" t="s">
        <v>85</v>
      </c>
      <c r="W342" s="2" t="s">
        <v>16</v>
      </c>
      <c r="X342" s="185" t="s">
        <v>5</v>
      </c>
      <c r="Y342" s="337" t="s">
        <v>5423</v>
      </c>
      <c r="Z342" s="3" t="s">
        <v>5755</v>
      </c>
      <c r="AA342" s="2">
        <v>2</v>
      </c>
      <c r="AB342" s="148" t="s">
        <v>1772</v>
      </c>
      <c r="AC342" s="2">
        <v>40</v>
      </c>
      <c r="AF342" s="2">
        <v>30</v>
      </c>
      <c r="AI342" s="16" t="s">
        <v>256</v>
      </c>
      <c r="AJ342" s="148" t="s">
        <v>13</v>
      </c>
      <c r="AK342" s="2"/>
      <c r="AN342" s="16" t="s">
        <v>5739</v>
      </c>
      <c r="AO342" s="16" t="s">
        <v>5424</v>
      </c>
      <c r="AP342" s="3" t="s">
        <v>1462</v>
      </c>
      <c r="AQ342" s="3" t="s">
        <v>3457</v>
      </c>
      <c r="AR342" s="186">
        <v>44246</v>
      </c>
      <c r="AS342" s="3" t="s">
        <v>3457</v>
      </c>
      <c r="AT342" s="186">
        <v>44267</v>
      </c>
      <c r="AU342" s="1107" t="s">
        <v>37</v>
      </c>
    </row>
    <row r="343" spans="1:47" ht="39" x14ac:dyDescent="0.25">
      <c r="A343" s="339"/>
      <c r="B343" s="116"/>
      <c r="C343" s="95"/>
      <c r="D343" s="567"/>
      <c r="E343" s="567"/>
      <c r="F343" s="95"/>
      <c r="G343" s="95"/>
      <c r="H343" s="108"/>
      <c r="I343" s="122"/>
      <c r="J343" s="95">
        <v>2409</v>
      </c>
      <c r="K343" s="356" t="s">
        <v>5425</v>
      </c>
      <c r="L343" s="938">
        <v>1873243.4395000001</v>
      </c>
      <c r="M343" s="938">
        <v>5579441.7781999996</v>
      </c>
      <c r="N343" s="276">
        <v>25</v>
      </c>
      <c r="O343" s="276" t="s">
        <v>6302</v>
      </c>
      <c r="P343" s="276" t="s">
        <v>5</v>
      </c>
      <c r="Q343" s="276"/>
      <c r="R343" s="276"/>
      <c r="S343" s="276"/>
      <c r="T343" s="184" t="s">
        <v>6303</v>
      </c>
      <c r="U343" s="102" t="s">
        <v>16</v>
      </c>
      <c r="V343" s="2" t="s">
        <v>85</v>
      </c>
      <c r="W343" s="2" t="s">
        <v>85</v>
      </c>
      <c r="X343" s="185" t="s">
        <v>5</v>
      </c>
      <c r="Y343" s="337" t="s">
        <v>5426</v>
      </c>
      <c r="Z343" s="3" t="s">
        <v>798</v>
      </c>
      <c r="AA343" s="2">
        <v>2</v>
      </c>
      <c r="AB343" s="148" t="s">
        <v>5156</v>
      </c>
      <c r="AC343" s="2">
        <v>12</v>
      </c>
      <c r="AF343" s="2">
        <v>10</v>
      </c>
      <c r="AI343" s="444" t="s">
        <v>256</v>
      </c>
      <c r="AJ343" s="2"/>
      <c r="AK343" s="2"/>
      <c r="AN343" s="3" t="s">
        <v>6304</v>
      </c>
      <c r="AO343" s="3" t="s">
        <v>6305</v>
      </c>
      <c r="AP343" s="3" t="s">
        <v>1462</v>
      </c>
      <c r="AQ343" s="3" t="s">
        <v>3457</v>
      </c>
      <c r="AR343" s="186">
        <v>44320</v>
      </c>
      <c r="AS343" s="3" t="s">
        <v>3457</v>
      </c>
      <c r="AT343" s="186">
        <v>44321</v>
      </c>
      <c r="AU343" s="1107" t="s">
        <v>37</v>
      </c>
    </row>
    <row r="344" spans="1:47" ht="26.25" x14ac:dyDescent="0.25">
      <c r="A344" s="339"/>
      <c r="B344" s="116"/>
      <c r="C344" s="95"/>
      <c r="D344" s="567"/>
      <c r="E344" s="567"/>
      <c r="F344" s="95"/>
      <c r="G344" s="95"/>
      <c r="H344" s="108"/>
      <c r="I344" s="122"/>
      <c r="J344" s="95">
        <v>2412</v>
      </c>
      <c r="K344" s="356" t="s">
        <v>5427</v>
      </c>
      <c r="L344" s="938">
        <v>1873282.6691000001</v>
      </c>
      <c r="M344" s="938">
        <v>5579535.341</v>
      </c>
      <c r="N344" s="276">
        <v>28</v>
      </c>
      <c r="O344" s="276" t="s">
        <v>5428</v>
      </c>
      <c r="P344" s="277" t="s">
        <v>5</v>
      </c>
      <c r="Q344" s="276"/>
      <c r="R344" s="276"/>
      <c r="S344" s="276"/>
      <c r="T344" s="184" t="s">
        <v>5727</v>
      </c>
      <c r="U344" s="102" t="s">
        <v>16</v>
      </c>
      <c r="V344" s="2" t="s">
        <v>85</v>
      </c>
      <c r="W344" s="2" t="s">
        <v>16</v>
      </c>
      <c r="X344" s="185" t="s">
        <v>5</v>
      </c>
      <c r="Y344" s="148" t="s">
        <v>5406</v>
      </c>
      <c r="Z344" s="3" t="s">
        <v>5756</v>
      </c>
      <c r="AA344" s="2">
        <v>2</v>
      </c>
      <c r="AB344" s="148" t="s">
        <v>5156</v>
      </c>
      <c r="AC344" s="2">
        <v>12</v>
      </c>
      <c r="AF344" s="2">
        <v>10</v>
      </c>
      <c r="AI344" s="16" t="s">
        <v>256</v>
      </c>
      <c r="AJ344" s="2" t="s">
        <v>3459</v>
      </c>
      <c r="AK344" s="2"/>
      <c r="AN344" s="3" t="s">
        <v>5740</v>
      </c>
      <c r="AO344" s="280" t="s">
        <v>5699</v>
      </c>
      <c r="AP344" s="3" t="s">
        <v>1462</v>
      </c>
      <c r="AQ344" s="3" t="s">
        <v>3457</v>
      </c>
      <c r="AR344" s="186">
        <v>44246</v>
      </c>
      <c r="AS344" s="3" t="s">
        <v>3457</v>
      </c>
      <c r="AT344" s="186">
        <v>44267</v>
      </c>
      <c r="AU344" s="1107" t="s">
        <v>37</v>
      </c>
    </row>
    <row r="345" spans="1:47" ht="26.25" x14ac:dyDescent="0.25">
      <c r="A345" s="339"/>
      <c r="B345" s="116"/>
      <c r="C345" s="95"/>
      <c r="D345" s="567"/>
      <c r="E345" s="567"/>
      <c r="F345" s="95"/>
      <c r="G345" s="95"/>
      <c r="H345" s="108"/>
      <c r="I345" s="122"/>
      <c r="J345" s="95">
        <v>2411</v>
      </c>
      <c r="K345" s="356" t="s">
        <v>5429</v>
      </c>
      <c r="L345" s="938">
        <v>1870147.8695</v>
      </c>
      <c r="M345" s="938">
        <v>5574265.0421000002</v>
      </c>
      <c r="N345" s="276">
        <v>40</v>
      </c>
      <c r="O345" s="276" t="s">
        <v>5430</v>
      </c>
      <c r="P345" s="277" t="s">
        <v>5</v>
      </c>
      <c r="Q345" s="276"/>
      <c r="R345" s="276"/>
      <c r="S345" s="276"/>
      <c r="T345" s="184" t="s">
        <v>5728</v>
      </c>
      <c r="U345" s="102" t="s">
        <v>16</v>
      </c>
      <c r="V345" s="2" t="s">
        <v>85</v>
      </c>
      <c r="W345" s="2" t="s">
        <v>85</v>
      </c>
      <c r="X345" s="185" t="s">
        <v>61</v>
      </c>
      <c r="Y345" s="337" t="s">
        <v>5431</v>
      </c>
      <c r="Z345" s="3" t="s">
        <v>5757</v>
      </c>
      <c r="AA345" s="2">
        <v>2</v>
      </c>
      <c r="AB345" s="148" t="s">
        <v>5432</v>
      </c>
      <c r="AC345" s="2">
        <v>3.5</v>
      </c>
      <c r="AF345" s="2">
        <v>2</v>
      </c>
      <c r="AI345" s="16" t="s">
        <v>5749</v>
      </c>
      <c r="AJ345" s="148" t="s">
        <v>3459</v>
      </c>
      <c r="AK345" s="2"/>
      <c r="AN345" s="3" t="s">
        <v>5741</v>
      </c>
      <c r="AO345" s="3" t="s">
        <v>5748</v>
      </c>
      <c r="AP345" s="3" t="s">
        <v>1462</v>
      </c>
      <c r="AQ345" s="3" t="s">
        <v>3457</v>
      </c>
      <c r="AR345" s="186">
        <v>44246</v>
      </c>
      <c r="AS345" s="3" t="s">
        <v>3457</v>
      </c>
      <c r="AT345" s="186">
        <v>44267</v>
      </c>
      <c r="AU345" s="1107" t="s">
        <v>37</v>
      </c>
    </row>
    <row r="346" spans="1:47" ht="26.25" x14ac:dyDescent="0.25">
      <c r="A346" s="339"/>
      <c r="B346" s="116"/>
      <c r="C346" s="95"/>
      <c r="D346" s="567"/>
      <c r="E346" s="567"/>
      <c r="F346" s="95"/>
      <c r="G346" s="95"/>
      <c r="H346" s="108"/>
      <c r="I346" s="122"/>
      <c r="J346" s="95">
        <v>2501</v>
      </c>
      <c r="K346" s="356" t="s">
        <v>5433</v>
      </c>
      <c r="L346" s="938">
        <v>1891011.6473000001</v>
      </c>
      <c r="M346" s="938">
        <v>5612984.5964000002</v>
      </c>
      <c r="N346" s="276">
        <v>30</v>
      </c>
      <c r="O346" s="276" t="s">
        <v>5434</v>
      </c>
      <c r="P346" s="277" t="s">
        <v>5</v>
      </c>
      <c r="Q346" s="276"/>
      <c r="R346" s="276"/>
      <c r="S346" s="276"/>
      <c r="T346" s="184" t="s">
        <v>5729</v>
      </c>
      <c r="U346" s="102" t="s">
        <v>16</v>
      </c>
      <c r="V346" s="2" t="s">
        <v>85</v>
      </c>
      <c r="W346" s="2" t="s">
        <v>16</v>
      </c>
      <c r="X346" s="185" t="s">
        <v>5</v>
      </c>
      <c r="Y346" s="148" t="s">
        <v>5324</v>
      </c>
      <c r="Z346" s="3" t="s">
        <v>798</v>
      </c>
      <c r="AA346" s="2">
        <v>2</v>
      </c>
      <c r="AB346" s="148" t="s">
        <v>5156</v>
      </c>
      <c r="AC346" s="2">
        <v>12</v>
      </c>
      <c r="AF346" s="2">
        <v>10</v>
      </c>
      <c r="AI346" s="16" t="s">
        <v>256</v>
      </c>
      <c r="AJ346" s="2" t="s">
        <v>3459</v>
      </c>
      <c r="AK346" s="2"/>
      <c r="AN346" s="3" t="s">
        <v>5740</v>
      </c>
      <c r="AO346" s="280" t="s">
        <v>5699</v>
      </c>
      <c r="AP346" s="3" t="s">
        <v>1462</v>
      </c>
      <c r="AQ346" s="3" t="s">
        <v>3457</v>
      </c>
      <c r="AR346" s="186">
        <v>44229</v>
      </c>
      <c r="AS346" s="3" t="s">
        <v>3457</v>
      </c>
      <c r="AT346" s="186">
        <v>44267</v>
      </c>
      <c r="AU346" s="1107" t="s">
        <v>37</v>
      </c>
    </row>
    <row r="347" spans="1:47" ht="26.25" x14ac:dyDescent="0.25">
      <c r="A347" s="339"/>
      <c r="B347" s="116"/>
      <c r="C347" s="95"/>
      <c r="D347" s="567"/>
      <c r="E347" s="567"/>
      <c r="F347" s="95"/>
      <c r="G347" s="95"/>
      <c r="H347" s="108"/>
      <c r="I347" s="122"/>
      <c r="J347" s="95">
        <v>2502</v>
      </c>
      <c r="K347" s="356" t="s">
        <v>5435</v>
      </c>
      <c r="L347" s="938">
        <v>1890853.1995000001</v>
      </c>
      <c r="M347" s="938">
        <v>5612751.2845000001</v>
      </c>
      <c r="N347" s="276">
        <v>30</v>
      </c>
      <c r="O347" s="276" t="s">
        <v>5436</v>
      </c>
      <c r="P347" s="277" t="s">
        <v>5</v>
      </c>
      <c r="Q347" s="276"/>
      <c r="R347" s="276"/>
      <c r="S347" s="276"/>
      <c r="T347" s="184" t="s">
        <v>5730</v>
      </c>
      <c r="U347" s="102" t="s">
        <v>16</v>
      </c>
      <c r="V347" s="2" t="s">
        <v>85</v>
      </c>
      <c r="W347" s="2" t="s">
        <v>16</v>
      </c>
      <c r="X347" s="185" t="s">
        <v>5</v>
      </c>
      <c r="Y347" s="148" t="s">
        <v>5437</v>
      </c>
      <c r="Z347" s="3" t="s">
        <v>261</v>
      </c>
      <c r="AA347" s="2">
        <v>2</v>
      </c>
      <c r="AB347" s="148" t="s">
        <v>5327</v>
      </c>
      <c r="AC347" s="2">
        <v>20</v>
      </c>
      <c r="AF347" s="2">
        <v>12</v>
      </c>
      <c r="AI347" s="16" t="s">
        <v>256</v>
      </c>
      <c r="AJ347" s="2" t="s">
        <v>13</v>
      </c>
      <c r="AK347" s="2"/>
      <c r="AN347" s="3" t="s">
        <v>5740</v>
      </c>
      <c r="AO347" s="280" t="s">
        <v>5438</v>
      </c>
      <c r="AP347" s="3" t="s">
        <v>1462</v>
      </c>
      <c r="AQ347" s="3" t="s">
        <v>3457</v>
      </c>
      <c r="AR347" s="186">
        <v>44229</v>
      </c>
      <c r="AS347" s="3" t="s">
        <v>3457</v>
      </c>
      <c r="AT347" s="186">
        <v>44267</v>
      </c>
      <c r="AU347" s="1107" t="s">
        <v>37</v>
      </c>
    </row>
    <row r="348" spans="1:47" ht="26.25" x14ac:dyDescent="0.25">
      <c r="A348" s="339"/>
      <c r="B348" s="116"/>
      <c r="C348" s="95"/>
      <c r="D348" s="567"/>
      <c r="E348" s="567"/>
      <c r="F348" s="95"/>
      <c r="G348" s="95"/>
      <c r="H348" s="108"/>
      <c r="I348" s="122"/>
      <c r="J348" s="95">
        <v>2503</v>
      </c>
      <c r="K348" s="356" t="s">
        <v>5439</v>
      </c>
      <c r="L348" s="938">
        <v>1889901.1154</v>
      </c>
      <c r="M348" s="938">
        <v>5611331.0153000001</v>
      </c>
      <c r="N348" s="276">
        <v>33</v>
      </c>
      <c r="O348" s="276" t="s">
        <v>5434</v>
      </c>
      <c r="P348" s="277" t="s">
        <v>5</v>
      </c>
      <c r="Q348" s="276"/>
      <c r="R348" s="276"/>
      <c r="S348" s="276"/>
      <c r="T348" s="184" t="s">
        <v>5729</v>
      </c>
      <c r="U348" s="102" t="s">
        <v>16</v>
      </c>
      <c r="V348" s="2" t="s">
        <v>85</v>
      </c>
      <c r="W348" s="2" t="s">
        <v>16</v>
      </c>
      <c r="X348" s="185" t="s">
        <v>5</v>
      </c>
      <c r="Y348" s="148" t="s">
        <v>5324</v>
      </c>
      <c r="Z348" s="3" t="s">
        <v>1792</v>
      </c>
      <c r="AA348" s="2">
        <v>2</v>
      </c>
      <c r="AB348" s="148" t="s">
        <v>5156</v>
      </c>
      <c r="AC348" s="2">
        <v>12</v>
      </c>
      <c r="AF348" s="2">
        <v>10</v>
      </c>
      <c r="AI348" s="16" t="s">
        <v>256</v>
      </c>
      <c r="AJ348" s="2" t="s">
        <v>3459</v>
      </c>
      <c r="AK348" s="2"/>
      <c r="AN348" s="3" t="s">
        <v>5740</v>
      </c>
      <c r="AO348" s="280" t="s">
        <v>5699</v>
      </c>
      <c r="AP348" s="3" t="s">
        <v>1462</v>
      </c>
      <c r="AQ348" s="3" t="s">
        <v>3457</v>
      </c>
      <c r="AR348" s="186">
        <v>44229</v>
      </c>
      <c r="AS348" s="3" t="s">
        <v>3457</v>
      </c>
      <c r="AT348" s="186">
        <v>44267</v>
      </c>
      <c r="AU348" s="1107" t="s">
        <v>37</v>
      </c>
    </row>
    <row r="349" spans="1:47" ht="39" x14ac:dyDescent="0.25">
      <c r="A349" s="339"/>
      <c r="B349" s="116"/>
      <c r="C349" s="95"/>
      <c r="D349" s="567"/>
      <c r="E349" s="567"/>
      <c r="F349" s="95"/>
      <c r="G349" s="95"/>
      <c r="H349" s="108"/>
      <c r="I349" s="122"/>
      <c r="J349" s="95">
        <v>2504</v>
      </c>
      <c r="K349" s="356" t="s">
        <v>5440</v>
      </c>
      <c r="L349" s="938">
        <v>1889359.1795000001</v>
      </c>
      <c r="M349" s="938">
        <v>5610477.1227000002</v>
      </c>
      <c r="N349" s="276">
        <v>28</v>
      </c>
      <c r="O349" s="276" t="s">
        <v>5441</v>
      </c>
      <c r="P349" s="277" t="s">
        <v>194</v>
      </c>
      <c r="Q349" s="276"/>
      <c r="R349" s="276"/>
      <c r="S349" s="276"/>
      <c r="T349" s="184" t="s">
        <v>5731</v>
      </c>
      <c r="U349" s="102" t="s">
        <v>16</v>
      </c>
      <c r="V349" s="2" t="s">
        <v>16</v>
      </c>
      <c r="W349" s="2" t="s">
        <v>16</v>
      </c>
      <c r="X349" s="2" t="s">
        <v>194</v>
      </c>
      <c r="Y349" s="148" t="s">
        <v>2028</v>
      </c>
      <c r="Z349" s="3" t="s">
        <v>402</v>
      </c>
      <c r="AA349" s="2">
        <v>2</v>
      </c>
      <c r="AB349" s="148" t="s">
        <v>3465</v>
      </c>
      <c r="AC349" s="2">
        <v>24</v>
      </c>
      <c r="AF349" s="2">
        <v>12</v>
      </c>
      <c r="AI349" s="16" t="s">
        <v>256</v>
      </c>
      <c r="AJ349" s="2" t="s">
        <v>13</v>
      </c>
      <c r="AK349" s="2"/>
      <c r="AN349" s="3" t="s">
        <v>5742</v>
      </c>
      <c r="AO349" s="280" t="s">
        <v>5746</v>
      </c>
      <c r="AP349" s="3" t="s">
        <v>1462</v>
      </c>
      <c r="AQ349" s="3" t="s">
        <v>3457</v>
      </c>
      <c r="AR349" s="186">
        <v>44246</v>
      </c>
      <c r="AS349" s="3" t="s">
        <v>3457</v>
      </c>
      <c r="AT349" s="186">
        <v>44267</v>
      </c>
      <c r="AU349" s="1107" t="s">
        <v>37</v>
      </c>
    </row>
    <row r="350" spans="1:47" ht="26.25" x14ac:dyDescent="0.25">
      <c r="A350" s="339"/>
      <c r="B350" s="116"/>
      <c r="C350" s="95"/>
      <c r="D350" s="567"/>
      <c r="E350" s="567"/>
      <c r="F350" s="95"/>
      <c r="G350" s="95"/>
      <c r="H350" s="108"/>
      <c r="I350" s="122"/>
      <c r="J350" s="95">
        <v>2505</v>
      </c>
      <c r="K350" s="356" t="s">
        <v>5442</v>
      </c>
      <c r="L350" s="938">
        <v>1886842.095</v>
      </c>
      <c r="M350" s="938">
        <v>5606590.5802999996</v>
      </c>
      <c r="N350" s="276">
        <v>32</v>
      </c>
      <c r="O350" s="276" t="s">
        <v>5349</v>
      </c>
      <c r="P350" s="277" t="s">
        <v>5</v>
      </c>
      <c r="Q350" s="276"/>
      <c r="R350" s="276"/>
      <c r="S350" s="276"/>
      <c r="T350" s="184" t="s">
        <v>5732</v>
      </c>
      <c r="U350" s="102" t="s">
        <v>16</v>
      </c>
      <c r="V350" s="2" t="s">
        <v>85</v>
      </c>
      <c r="W350" s="2" t="s">
        <v>16</v>
      </c>
      <c r="X350" s="2" t="s">
        <v>5</v>
      </c>
      <c r="Y350" s="148" t="s">
        <v>3521</v>
      </c>
      <c r="Z350" s="3" t="s">
        <v>5758</v>
      </c>
      <c r="AA350" s="2">
        <v>2</v>
      </c>
      <c r="AB350" s="148" t="s">
        <v>3465</v>
      </c>
      <c r="AC350" s="2">
        <v>24</v>
      </c>
      <c r="AF350" s="2">
        <v>12</v>
      </c>
      <c r="AI350" s="16" t="s">
        <v>256</v>
      </c>
      <c r="AJ350" s="2" t="s">
        <v>13</v>
      </c>
      <c r="AK350" s="2"/>
      <c r="AN350" s="3" t="s">
        <v>5740</v>
      </c>
      <c r="AO350" s="3" t="s">
        <v>5747</v>
      </c>
      <c r="AP350" s="3" t="s">
        <v>1462</v>
      </c>
      <c r="AQ350" s="3" t="s">
        <v>3457</v>
      </c>
      <c r="AR350" s="186">
        <v>44246</v>
      </c>
      <c r="AS350" s="3" t="s">
        <v>3457</v>
      </c>
      <c r="AT350" s="186">
        <v>44267</v>
      </c>
      <c r="AU350" s="1107" t="s">
        <v>37</v>
      </c>
    </row>
    <row r="351" spans="1:47" ht="26.25" x14ac:dyDescent="0.25">
      <c r="A351" s="339"/>
      <c r="B351" s="116"/>
      <c r="C351" s="95"/>
      <c r="D351" s="567"/>
      <c r="E351" s="567"/>
      <c r="F351" s="95"/>
      <c r="G351" s="95"/>
      <c r="H351" s="108"/>
      <c r="I351" s="122"/>
      <c r="J351" s="95">
        <v>2510</v>
      </c>
      <c r="K351" s="356" t="s">
        <v>5443</v>
      </c>
      <c r="L351" s="938">
        <v>1892581.0205000001</v>
      </c>
      <c r="M351" s="938">
        <v>5615868.3112000003</v>
      </c>
      <c r="N351" s="276">
        <v>27</v>
      </c>
      <c r="O351" s="276" t="s">
        <v>5444</v>
      </c>
      <c r="P351" s="277" t="s">
        <v>5</v>
      </c>
      <c r="Q351" s="276"/>
      <c r="R351" s="276"/>
      <c r="S351" s="276"/>
      <c r="T351" s="184" t="s">
        <v>5733</v>
      </c>
      <c r="U351" s="102" t="s">
        <v>16</v>
      </c>
      <c r="V351" s="2" t="s">
        <v>85</v>
      </c>
      <c r="W351" s="2" t="s">
        <v>16</v>
      </c>
      <c r="X351" s="2" t="s">
        <v>5</v>
      </c>
      <c r="Y351" s="148" t="s">
        <v>5445</v>
      </c>
      <c r="Z351" s="3" t="s">
        <v>533</v>
      </c>
      <c r="AA351" s="2">
        <v>2</v>
      </c>
      <c r="AB351" s="148" t="s">
        <v>5446</v>
      </c>
      <c r="AC351" s="2">
        <v>13</v>
      </c>
      <c r="AF351" s="2">
        <v>12</v>
      </c>
      <c r="AI351" s="16" t="s">
        <v>256</v>
      </c>
      <c r="AJ351" s="2" t="s">
        <v>13</v>
      </c>
      <c r="AK351" s="2"/>
      <c r="AN351" s="16" t="s">
        <v>5743</v>
      </c>
      <c r="AO351" s="3" t="s">
        <v>5447</v>
      </c>
      <c r="AP351" s="3" t="s">
        <v>5333</v>
      </c>
      <c r="AQ351" s="3" t="s">
        <v>3457</v>
      </c>
      <c r="AR351" s="186">
        <v>44229</v>
      </c>
      <c r="AS351" s="3" t="s">
        <v>3457</v>
      </c>
      <c r="AT351" s="186">
        <v>44267</v>
      </c>
      <c r="AU351" s="1107" t="s">
        <v>37</v>
      </c>
    </row>
    <row r="352" spans="1:47" ht="27" thickBot="1" x14ac:dyDescent="0.3">
      <c r="A352" s="339"/>
      <c r="B352" s="116"/>
      <c r="C352" s="95"/>
      <c r="D352" s="567"/>
      <c r="E352" s="567"/>
      <c r="F352" s="95"/>
      <c r="G352" s="95"/>
      <c r="H352" s="108"/>
      <c r="I352" s="122"/>
      <c r="J352" s="96">
        <v>2511</v>
      </c>
      <c r="K352" s="357" t="s">
        <v>5448</v>
      </c>
      <c r="L352" s="912">
        <v>1891002.7378</v>
      </c>
      <c r="M352" s="912">
        <v>5612953.5673000002</v>
      </c>
      <c r="N352" s="107">
        <v>30</v>
      </c>
      <c r="O352" s="107" t="s">
        <v>5449</v>
      </c>
      <c r="P352" s="96" t="s">
        <v>5</v>
      </c>
      <c r="Q352" s="107"/>
      <c r="R352" s="107"/>
      <c r="S352" s="107"/>
      <c r="T352" s="127" t="s">
        <v>5734</v>
      </c>
      <c r="U352" s="104" t="s">
        <v>85</v>
      </c>
      <c r="V352" s="25" t="s">
        <v>85</v>
      </c>
      <c r="W352" s="25" t="s">
        <v>85</v>
      </c>
      <c r="X352" s="25" t="s">
        <v>5</v>
      </c>
      <c r="Y352" s="105" t="s">
        <v>5450</v>
      </c>
      <c r="Z352" s="52" t="s">
        <v>798</v>
      </c>
      <c r="AA352" s="25">
        <v>1</v>
      </c>
      <c r="AB352" s="105" t="s">
        <v>5320</v>
      </c>
      <c r="AC352" s="25">
        <v>15</v>
      </c>
      <c r="AD352" s="25"/>
      <c r="AE352" s="25"/>
      <c r="AF352" s="25">
        <v>12</v>
      </c>
      <c r="AG352" s="386"/>
      <c r="AH352" s="386"/>
      <c r="AI352" s="51" t="s">
        <v>256</v>
      </c>
      <c r="AJ352" s="25" t="s">
        <v>13</v>
      </c>
      <c r="AK352" s="25"/>
      <c r="AL352" s="386"/>
      <c r="AM352" s="386"/>
      <c r="AN352" s="51" t="s">
        <v>5744</v>
      </c>
      <c r="AO352" s="271" t="s">
        <v>5665</v>
      </c>
      <c r="AP352" s="52" t="s">
        <v>5333</v>
      </c>
      <c r="AQ352" s="52" t="s">
        <v>3457</v>
      </c>
      <c r="AR352" s="53">
        <v>44246</v>
      </c>
      <c r="AS352" s="52" t="s">
        <v>3457</v>
      </c>
      <c r="AT352" s="53">
        <v>44267</v>
      </c>
      <c r="AU352" s="727" t="s">
        <v>37</v>
      </c>
    </row>
    <row r="353" spans="1:47" s="1" customFormat="1" ht="25.5" x14ac:dyDescent="0.2">
      <c r="A353" s="339"/>
      <c r="B353" s="116"/>
      <c r="C353" s="95"/>
      <c r="D353" s="567"/>
      <c r="E353" s="567"/>
      <c r="F353" s="95"/>
      <c r="G353" s="95"/>
      <c r="H353" s="108"/>
      <c r="I353" s="122"/>
      <c r="J353" s="125">
        <v>2300</v>
      </c>
      <c r="K353" s="355" t="s">
        <v>5358</v>
      </c>
      <c r="L353" s="911">
        <v>1841671.9273999999</v>
      </c>
      <c r="M353" s="911">
        <v>5532839.2295000004</v>
      </c>
      <c r="N353" s="126">
        <v>40</v>
      </c>
      <c r="O353" s="126">
        <v>1.1000000000000001</v>
      </c>
      <c r="P353" s="126" t="s">
        <v>193</v>
      </c>
      <c r="Q353" s="126"/>
      <c r="R353" s="126"/>
      <c r="S353" s="126"/>
      <c r="T353" s="344" t="s">
        <v>5764</v>
      </c>
      <c r="U353" s="101" t="s">
        <v>16</v>
      </c>
      <c r="V353" s="31" t="s">
        <v>16</v>
      </c>
      <c r="W353" s="31" t="s">
        <v>16</v>
      </c>
      <c r="X353" s="97" t="s">
        <v>193</v>
      </c>
      <c r="Y353" s="130" t="s">
        <v>5359</v>
      </c>
      <c r="Z353" s="40" t="s">
        <v>3461</v>
      </c>
      <c r="AA353" s="31">
        <v>2</v>
      </c>
      <c r="AB353" s="130" t="s">
        <v>5360</v>
      </c>
      <c r="AC353" s="31">
        <v>14.2</v>
      </c>
      <c r="AD353" s="31">
        <v>12.65</v>
      </c>
      <c r="AE353" s="31">
        <v>18</v>
      </c>
      <c r="AF353" s="31">
        <v>18</v>
      </c>
      <c r="AG353" s="31"/>
      <c r="AH353" s="31"/>
      <c r="AI353" s="30" t="s">
        <v>5771</v>
      </c>
      <c r="AJ353" s="31" t="s">
        <v>13</v>
      </c>
      <c r="AK353" s="31"/>
      <c r="AL353" s="372"/>
      <c r="AM353" s="372"/>
      <c r="AN353" s="40" t="s">
        <v>5361</v>
      </c>
      <c r="AO353" s="40" t="s">
        <v>5362</v>
      </c>
      <c r="AP353" s="40" t="s">
        <v>6937</v>
      </c>
      <c r="AQ353" s="40" t="s">
        <v>3457</v>
      </c>
      <c r="AR353" s="41">
        <v>44090</v>
      </c>
      <c r="AS353" s="40" t="s">
        <v>3457</v>
      </c>
      <c r="AT353" s="41">
        <v>44270</v>
      </c>
      <c r="AU353" s="728" t="s">
        <v>37</v>
      </c>
    </row>
    <row r="354" spans="1:47" s="1" customFormat="1" ht="25.5" x14ac:dyDescent="0.2">
      <c r="A354" s="339"/>
      <c r="B354" s="116"/>
      <c r="C354" s="95"/>
      <c r="D354" s="567"/>
      <c r="E354" s="567"/>
      <c r="F354" s="95"/>
      <c r="G354" s="95"/>
      <c r="H354" s="108"/>
      <c r="I354" s="122"/>
      <c r="J354" s="95">
        <v>2298</v>
      </c>
      <c r="K354" s="356" t="s">
        <v>6307</v>
      </c>
      <c r="L354" s="938">
        <v>1844322.7956000001</v>
      </c>
      <c r="M354" s="938">
        <v>5536233.0926000001</v>
      </c>
      <c r="N354" s="276">
        <v>30</v>
      </c>
      <c r="O354" s="276" t="s">
        <v>6309</v>
      </c>
      <c r="P354" s="276" t="s">
        <v>5</v>
      </c>
      <c r="Q354" s="276"/>
      <c r="R354" s="276"/>
      <c r="S354" s="276"/>
      <c r="T354" s="184" t="s">
        <v>6345</v>
      </c>
      <c r="U354" s="102" t="s">
        <v>16</v>
      </c>
      <c r="V354" s="2" t="s">
        <v>10</v>
      </c>
      <c r="W354" s="2" t="s">
        <v>16</v>
      </c>
      <c r="X354" s="185" t="s">
        <v>5</v>
      </c>
      <c r="Y354" s="148" t="s">
        <v>6313</v>
      </c>
      <c r="Z354" s="3" t="s">
        <v>34</v>
      </c>
      <c r="AA354" s="2">
        <v>1</v>
      </c>
      <c r="AB354" s="148" t="s">
        <v>5363</v>
      </c>
      <c r="AC354" s="2">
        <v>4.5999999999999996</v>
      </c>
      <c r="AD354" s="2">
        <v>4.5869999999999997</v>
      </c>
      <c r="AE354" s="2"/>
      <c r="AF354" s="2">
        <v>5.3</v>
      </c>
      <c r="AG354" s="2">
        <v>5.2619999999999996</v>
      </c>
      <c r="AH354" s="2"/>
      <c r="AI354" s="16" t="s">
        <v>549</v>
      </c>
      <c r="AJ354" s="2"/>
      <c r="AK354" s="2"/>
      <c r="AL354" s="352"/>
      <c r="AM354" s="352"/>
      <c r="AN354" s="3" t="s">
        <v>6314</v>
      </c>
      <c r="AO354" s="3" t="s">
        <v>6315</v>
      </c>
      <c r="AP354" s="3" t="s">
        <v>5333</v>
      </c>
      <c r="AQ354" s="46" t="s">
        <v>3457</v>
      </c>
      <c r="AR354" s="47">
        <v>44320</v>
      </c>
      <c r="AS354" s="46" t="s">
        <v>3457</v>
      </c>
      <c r="AT354" s="186">
        <v>44321</v>
      </c>
      <c r="AU354" s="729" t="s">
        <v>37</v>
      </c>
    </row>
    <row r="355" spans="1:47" s="1" customFormat="1" ht="25.5" x14ac:dyDescent="0.2">
      <c r="A355" s="339"/>
      <c r="B355" s="116"/>
      <c r="C355" s="95"/>
      <c r="D355" s="567"/>
      <c r="E355" s="567"/>
      <c r="F355" s="95"/>
      <c r="G355" s="95"/>
      <c r="H355" s="108"/>
      <c r="I355" s="122"/>
      <c r="J355" s="95">
        <v>2299</v>
      </c>
      <c r="K355" s="356" t="s">
        <v>6306</v>
      </c>
      <c r="L355" s="938">
        <v>1844369.5193</v>
      </c>
      <c r="M355" s="938">
        <v>5536296.3064999999</v>
      </c>
      <c r="N355" s="276">
        <v>30</v>
      </c>
      <c r="O355" s="276" t="s">
        <v>6310</v>
      </c>
      <c r="P355" s="276" t="s">
        <v>5</v>
      </c>
      <c r="Q355" s="276"/>
      <c r="R355" s="276"/>
      <c r="S355" s="276"/>
      <c r="T355" s="184" t="s">
        <v>6311</v>
      </c>
      <c r="U355" s="102" t="s">
        <v>16</v>
      </c>
      <c r="V355" s="2" t="s">
        <v>10</v>
      </c>
      <c r="W355" s="2" t="s">
        <v>16</v>
      </c>
      <c r="X355" s="6" t="s">
        <v>5</v>
      </c>
      <c r="Y355" s="148" t="s">
        <v>6316</v>
      </c>
      <c r="Z355" s="3" t="s">
        <v>5192</v>
      </c>
      <c r="AA355" s="2">
        <v>1</v>
      </c>
      <c r="AB355" s="2" t="s">
        <v>6317</v>
      </c>
      <c r="AC355" s="2">
        <v>10.44</v>
      </c>
      <c r="AD355" s="2"/>
      <c r="AE355" s="2"/>
      <c r="AF355" s="2">
        <v>11.08</v>
      </c>
      <c r="AG355" s="2"/>
      <c r="AH355" s="2"/>
      <c r="AI355" s="16" t="s">
        <v>549</v>
      </c>
      <c r="AJ355" s="185" t="s">
        <v>3459</v>
      </c>
      <c r="AK355" s="2"/>
      <c r="AL355" s="352"/>
      <c r="AM355" s="352"/>
      <c r="AN355" s="3" t="s">
        <v>6314</v>
      </c>
      <c r="AO355" s="3" t="s">
        <v>6318</v>
      </c>
      <c r="AP355" s="3" t="s">
        <v>5333</v>
      </c>
      <c r="AQ355" s="3" t="s">
        <v>3457</v>
      </c>
      <c r="AR355" s="186">
        <v>44320</v>
      </c>
      <c r="AS355" s="46" t="s">
        <v>3457</v>
      </c>
      <c r="AT355" s="186">
        <v>44270</v>
      </c>
      <c r="AU355" s="729" t="s">
        <v>37</v>
      </c>
    </row>
    <row r="356" spans="1:47" s="1" customFormat="1" ht="25.5" x14ac:dyDescent="0.2">
      <c r="A356" s="339"/>
      <c r="B356" s="116"/>
      <c r="C356" s="95"/>
      <c r="D356" s="567"/>
      <c r="E356" s="567"/>
      <c r="F356" s="95"/>
      <c r="G356" s="95"/>
      <c r="H356" s="108"/>
      <c r="I356" s="122"/>
      <c r="J356" s="95">
        <v>2301</v>
      </c>
      <c r="K356" s="356" t="s">
        <v>6308</v>
      </c>
      <c r="L356" s="938">
        <v>1844349.1832999999</v>
      </c>
      <c r="M356" s="938">
        <v>5536268.7933999998</v>
      </c>
      <c r="N356" s="276">
        <v>30</v>
      </c>
      <c r="O356" s="276" t="s">
        <v>6312</v>
      </c>
      <c r="P356" s="276" t="s">
        <v>5</v>
      </c>
      <c r="Q356" s="276"/>
      <c r="R356" s="276"/>
      <c r="S356" s="276"/>
      <c r="T356" s="184" t="s">
        <v>6346</v>
      </c>
      <c r="U356" s="102" t="s">
        <v>16</v>
      </c>
      <c r="V356" s="2" t="s">
        <v>10</v>
      </c>
      <c r="W356" s="2" t="s">
        <v>16</v>
      </c>
      <c r="X356" s="6" t="s">
        <v>5</v>
      </c>
      <c r="Y356" s="148" t="s">
        <v>6319</v>
      </c>
      <c r="Z356" s="3" t="s">
        <v>6320</v>
      </c>
      <c r="AA356" s="2">
        <v>1</v>
      </c>
      <c r="AB356" s="148" t="s">
        <v>5156</v>
      </c>
      <c r="AC356" s="2">
        <v>12</v>
      </c>
      <c r="AD356" s="2"/>
      <c r="AE356" s="2"/>
      <c r="AF356" s="2">
        <v>10</v>
      </c>
      <c r="AG356" s="352"/>
      <c r="AH356" s="352"/>
      <c r="AI356" s="16" t="s">
        <v>5771</v>
      </c>
      <c r="AJ356" s="185"/>
      <c r="AK356" s="2"/>
      <c r="AL356" s="352"/>
      <c r="AM356" s="352"/>
      <c r="AN356" s="3" t="s">
        <v>6314</v>
      </c>
      <c r="AO356" s="3" t="s">
        <v>6321</v>
      </c>
      <c r="AP356" s="3" t="s">
        <v>5333</v>
      </c>
      <c r="AQ356" s="3" t="s">
        <v>3457</v>
      </c>
      <c r="AR356" s="186">
        <v>44320</v>
      </c>
      <c r="AS356" s="46" t="s">
        <v>3457</v>
      </c>
      <c r="AT356" s="186">
        <v>44321</v>
      </c>
      <c r="AU356" s="729" t="s">
        <v>37</v>
      </c>
    </row>
    <row r="357" spans="1:47" s="1" customFormat="1" ht="25.5" x14ac:dyDescent="0.2">
      <c r="A357" s="339"/>
      <c r="B357" s="116"/>
      <c r="C357" s="95"/>
      <c r="D357" s="567"/>
      <c r="E357" s="567"/>
      <c r="F357" s="95"/>
      <c r="G357" s="95"/>
      <c r="H357" s="108"/>
      <c r="I357" s="122"/>
      <c r="J357" s="95">
        <v>2303</v>
      </c>
      <c r="K357" s="356" t="s">
        <v>5689</v>
      </c>
      <c r="L357" s="938">
        <v>1845333.4645</v>
      </c>
      <c r="M357" s="938">
        <v>5537858.8514</v>
      </c>
      <c r="N357" s="276">
        <v>30</v>
      </c>
      <c r="O357" s="276" t="s">
        <v>5364</v>
      </c>
      <c r="P357" s="276" t="s">
        <v>5</v>
      </c>
      <c r="Q357" s="276"/>
      <c r="R357" s="276"/>
      <c r="S357" s="276"/>
      <c r="T357" s="184" t="s">
        <v>5765</v>
      </c>
      <c r="U357" s="102" t="s">
        <v>16</v>
      </c>
      <c r="V357" s="2" t="s">
        <v>10</v>
      </c>
      <c r="W357" s="2" t="s">
        <v>16</v>
      </c>
      <c r="X357" s="185" t="s">
        <v>5</v>
      </c>
      <c r="Y357" s="337" t="s">
        <v>5365</v>
      </c>
      <c r="Z357" s="3" t="s">
        <v>5174</v>
      </c>
      <c r="AA357" s="2">
        <v>1</v>
      </c>
      <c r="AB357" s="148" t="s">
        <v>5366</v>
      </c>
      <c r="AC357" s="2">
        <v>5.9</v>
      </c>
      <c r="AD357" s="2"/>
      <c r="AE357" s="2"/>
      <c r="AF357" s="2">
        <v>6.3</v>
      </c>
      <c r="AG357" s="352"/>
      <c r="AH357" s="352"/>
      <c r="AI357" s="16" t="s">
        <v>549</v>
      </c>
      <c r="AJ357" s="148" t="s">
        <v>3459</v>
      </c>
      <c r="AK357" s="2">
        <v>5</v>
      </c>
      <c r="AL357" s="352"/>
      <c r="AM357" s="352"/>
      <c r="AN357" s="3" t="s">
        <v>5367</v>
      </c>
      <c r="AO357" s="3" t="s">
        <v>5368</v>
      </c>
      <c r="AP357" s="3" t="s">
        <v>5333</v>
      </c>
      <c r="AQ357" s="3" t="s">
        <v>3457</v>
      </c>
      <c r="AR357" s="186">
        <v>44246</v>
      </c>
      <c r="AS357" s="3" t="s">
        <v>3457</v>
      </c>
      <c r="AT357" s="186">
        <v>44270</v>
      </c>
      <c r="AU357" s="729" t="s">
        <v>37</v>
      </c>
    </row>
    <row r="358" spans="1:47" s="1" customFormat="1" ht="25.5" x14ac:dyDescent="0.2">
      <c r="A358" s="339"/>
      <c r="B358" s="116"/>
      <c r="C358" s="95"/>
      <c r="D358" s="567"/>
      <c r="E358" s="567"/>
      <c r="F358" s="95"/>
      <c r="G358" s="95"/>
      <c r="H358" s="108"/>
      <c r="I358" s="122"/>
      <c r="J358" s="95">
        <v>2302</v>
      </c>
      <c r="K358" s="356" t="s">
        <v>5690</v>
      </c>
      <c r="L358" s="938">
        <v>1845395.3770999999</v>
      </c>
      <c r="M358" s="938">
        <v>5537900.6557</v>
      </c>
      <c r="N358" s="276">
        <v>30</v>
      </c>
      <c r="O358" s="276" t="s">
        <v>5369</v>
      </c>
      <c r="P358" s="276" t="s">
        <v>5</v>
      </c>
      <c r="Q358" s="276"/>
      <c r="R358" s="276"/>
      <c r="S358" s="276"/>
      <c r="T358" s="184" t="s">
        <v>5766</v>
      </c>
      <c r="U358" s="102" t="s">
        <v>16</v>
      </c>
      <c r="V358" s="2" t="s">
        <v>85</v>
      </c>
      <c r="W358" s="2" t="s">
        <v>16</v>
      </c>
      <c r="X358" s="185" t="s">
        <v>5</v>
      </c>
      <c r="Y358" s="337" t="s">
        <v>5370</v>
      </c>
      <c r="Z358" s="3" t="s">
        <v>5371</v>
      </c>
      <c r="AA358" s="2">
        <v>2</v>
      </c>
      <c r="AB358" s="148" t="s">
        <v>5372</v>
      </c>
      <c r="AC358" s="2">
        <v>20</v>
      </c>
      <c r="AD358" s="2"/>
      <c r="AE358" s="2"/>
      <c r="AF358" s="2">
        <v>16</v>
      </c>
      <c r="AG358" s="352"/>
      <c r="AH358" s="352"/>
      <c r="AI358" s="16" t="s">
        <v>256</v>
      </c>
      <c r="AJ358" s="148" t="s">
        <v>13</v>
      </c>
      <c r="AK358" s="2"/>
      <c r="AL358" s="352"/>
      <c r="AM358" s="352"/>
      <c r="AN358" s="3" t="s">
        <v>5373</v>
      </c>
      <c r="AO358" s="3" t="s">
        <v>5374</v>
      </c>
      <c r="AP358" s="3" t="s">
        <v>1462</v>
      </c>
      <c r="AQ358" s="3" t="s">
        <v>3457</v>
      </c>
      <c r="AR358" s="186">
        <v>44236</v>
      </c>
      <c r="AS358" s="3" t="s">
        <v>3457</v>
      </c>
      <c r="AT358" s="186">
        <v>44270</v>
      </c>
      <c r="AU358" s="729" t="s">
        <v>37</v>
      </c>
    </row>
    <row r="359" spans="1:47" s="1" customFormat="1" ht="25.5" x14ac:dyDescent="0.2">
      <c r="A359" s="339"/>
      <c r="B359" s="116"/>
      <c r="C359" s="95"/>
      <c r="D359" s="567"/>
      <c r="E359" s="567"/>
      <c r="F359" s="95"/>
      <c r="G359" s="95"/>
      <c r="H359" s="108"/>
      <c r="I359" s="122"/>
      <c r="J359" s="95">
        <v>2304</v>
      </c>
      <c r="K359" s="356" t="s">
        <v>5375</v>
      </c>
      <c r="L359" s="938">
        <v>1846852.4935999999</v>
      </c>
      <c r="M359" s="938">
        <v>5539920.6062000003</v>
      </c>
      <c r="N359" s="276">
        <v>30</v>
      </c>
      <c r="O359" s="544" t="s">
        <v>5376</v>
      </c>
      <c r="P359" s="276" t="s">
        <v>5</v>
      </c>
      <c r="Q359" s="276"/>
      <c r="R359" s="276"/>
      <c r="S359" s="338"/>
      <c r="T359" s="545" t="s">
        <v>5767</v>
      </c>
      <c r="U359" s="102" t="s">
        <v>16</v>
      </c>
      <c r="V359" s="2" t="s">
        <v>85</v>
      </c>
      <c r="W359" s="2" t="s">
        <v>16</v>
      </c>
      <c r="X359" s="185" t="s">
        <v>5</v>
      </c>
      <c r="Y359" s="337" t="s">
        <v>1610</v>
      </c>
      <c r="Z359" s="3" t="s">
        <v>5377</v>
      </c>
      <c r="AA359" s="2">
        <v>2</v>
      </c>
      <c r="AB359" s="148" t="s">
        <v>5156</v>
      </c>
      <c r="AC359" s="2">
        <v>12</v>
      </c>
      <c r="AD359" s="2"/>
      <c r="AE359" s="2"/>
      <c r="AF359" s="543">
        <v>10</v>
      </c>
      <c r="AG359" s="352"/>
      <c r="AH359" s="352"/>
      <c r="AI359" s="16" t="s">
        <v>256</v>
      </c>
      <c r="AJ359" s="148" t="s">
        <v>3459</v>
      </c>
      <c r="AK359" s="2"/>
      <c r="AL359" s="352"/>
      <c r="AM359" s="352"/>
      <c r="AN359" s="280" t="s">
        <v>5378</v>
      </c>
      <c r="AO359" s="3" t="s">
        <v>5379</v>
      </c>
      <c r="AP359" s="3" t="s">
        <v>1462</v>
      </c>
      <c r="AQ359" s="3" t="s">
        <v>3457</v>
      </c>
      <c r="AR359" s="186">
        <v>44236</v>
      </c>
      <c r="AS359" s="3" t="s">
        <v>3457</v>
      </c>
      <c r="AT359" s="186">
        <v>44270</v>
      </c>
      <c r="AU359" s="729" t="s">
        <v>37</v>
      </c>
    </row>
    <row r="360" spans="1:47" s="1" customFormat="1" ht="25.5" x14ac:dyDescent="0.2">
      <c r="A360" s="339"/>
      <c r="B360" s="116"/>
      <c r="C360" s="95"/>
      <c r="D360" s="567"/>
      <c r="E360" s="567"/>
      <c r="F360" s="95"/>
      <c r="G360" s="95"/>
      <c r="H360" s="108"/>
      <c r="I360" s="122"/>
      <c r="J360" s="95">
        <v>2305</v>
      </c>
      <c r="K360" s="356" t="s">
        <v>5380</v>
      </c>
      <c r="L360" s="938">
        <v>1850936.2058999999</v>
      </c>
      <c r="M360" s="938">
        <v>5544002.1416999996</v>
      </c>
      <c r="N360" s="276">
        <v>36</v>
      </c>
      <c r="O360" s="276" t="s">
        <v>5381</v>
      </c>
      <c r="P360" s="277" t="s">
        <v>5</v>
      </c>
      <c r="Q360" s="276"/>
      <c r="R360" s="276"/>
      <c r="S360" s="276"/>
      <c r="T360" s="184" t="s">
        <v>5768</v>
      </c>
      <c r="U360" s="102" t="s">
        <v>10</v>
      </c>
      <c r="V360" s="2" t="s">
        <v>85</v>
      </c>
      <c r="W360" s="2" t="s">
        <v>16</v>
      </c>
      <c r="X360" s="2" t="s">
        <v>5</v>
      </c>
      <c r="Y360" s="148" t="s">
        <v>5382</v>
      </c>
      <c r="Z360" s="3" t="s">
        <v>5383</v>
      </c>
      <c r="AA360" s="2">
        <v>1</v>
      </c>
      <c r="AB360" s="148" t="s">
        <v>5156</v>
      </c>
      <c r="AC360" s="2">
        <v>12</v>
      </c>
      <c r="AD360" s="2"/>
      <c r="AE360" s="2"/>
      <c r="AF360" s="2">
        <v>10</v>
      </c>
      <c r="AG360" s="352"/>
      <c r="AH360" s="352"/>
      <c r="AI360" s="16" t="s">
        <v>256</v>
      </c>
      <c r="AJ360" s="148" t="s">
        <v>3459</v>
      </c>
      <c r="AK360" s="2"/>
      <c r="AL360" s="352"/>
      <c r="AM360" s="352"/>
      <c r="AN360" s="3" t="s">
        <v>5384</v>
      </c>
      <c r="AO360" s="280" t="s">
        <v>5385</v>
      </c>
      <c r="AP360" s="3" t="s">
        <v>5386</v>
      </c>
      <c r="AQ360" s="3" t="s">
        <v>3457</v>
      </c>
      <c r="AR360" s="186">
        <v>44246</v>
      </c>
      <c r="AS360" s="3" t="s">
        <v>3457</v>
      </c>
      <c r="AT360" s="186">
        <v>44270</v>
      </c>
      <c r="AU360" s="729" t="s">
        <v>37</v>
      </c>
    </row>
    <row r="361" spans="1:47" s="1" customFormat="1" ht="25.5" x14ac:dyDescent="0.2">
      <c r="A361" s="339"/>
      <c r="B361" s="116"/>
      <c r="C361" s="95"/>
      <c r="D361" s="567"/>
      <c r="E361" s="567"/>
      <c r="F361" s="95"/>
      <c r="G361" s="95"/>
      <c r="H361" s="108"/>
      <c r="I361" s="122"/>
      <c r="J361" s="95">
        <v>2306</v>
      </c>
      <c r="K361" s="356" t="s">
        <v>5387</v>
      </c>
      <c r="L361" s="938">
        <v>1852447.9299000001</v>
      </c>
      <c r="M361" s="938">
        <v>5546127.4176000003</v>
      </c>
      <c r="N361" s="276">
        <v>35</v>
      </c>
      <c r="O361" s="276" t="s">
        <v>5388</v>
      </c>
      <c r="P361" s="276" t="s">
        <v>5</v>
      </c>
      <c r="Q361" s="276"/>
      <c r="R361" s="276"/>
      <c r="S361" s="276"/>
      <c r="T361" s="184" t="s">
        <v>5769</v>
      </c>
      <c r="U361" s="102" t="s">
        <v>16</v>
      </c>
      <c r="V361" s="2" t="s">
        <v>85</v>
      </c>
      <c r="W361" s="2" t="s">
        <v>16</v>
      </c>
      <c r="X361" s="185" t="s">
        <v>61</v>
      </c>
      <c r="Y361" s="337" t="s">
        <v>5389</v>
      </c>
      <c r="Z361" s="3" t="s">
        <v>5178</v>
      </c>
      <c r="AA361" s="2">
        <v>1</v>
      </c>
      <c r="AB361" s="337" t="s">
        <v>5390</v>
      </c>
      <c r="AC361" s="2">
        <v>45</v>
      </c>
      <c r="AD361" s="2"/>
      <c r="AE361" s="2"/>
      <c r="AF361" s="2">
        <v>25</v>
      </c>
      <c r="AG361" s="352"/>
      <c r="AH361" s="352"/>
      <c r="AI361" s="16" t="s">
        <v>256</v>
      </c>
      <c r="AJ361" s="2" t="s">
        <v>13</v>
      </c>
      <c r="AK361" s="2"/>
      <c r="AL361" s="352"/>
      <c r="AM361" s="352"/>
      <c r="AN361" s="3" t="s">
        <v>5391</v>
      </c>
      <c r="AO361" s="3" t="s">
        <v>5392</v>
      </c>
      <c r="AP361" s="3" t="s">
        <v>1462</v>
      </c>
      <c r="AQ361" s="3" t="s">
        <v>3457</v>
      </c>
      <c r="AR361" s="186">
        <v>44116</v>
      </c>
      <c r="AS361" s="3" t="s">
        <v>3457</v>
      </c>
      <c r="AT361" s="186">
        <v>44270</v>
      </c>
      <c r="AU361" s="729" t="s">
        <v>37</v>
      </c>
    </row>
    <row r="362" spans="1:47" s="1" customFormat="1" ht="51.75" thickBot="1" x14ac:dyDescent="0.25">
      <c r="A362" s="336"/>
      <c r="B362" s="196"/>
      <c r="C362" s="96"/>
      <c r="D362" s="566"/>
      <c r="E362" s="566"/>
      <c r="F362" s="96"/>
      <c r="G362" s="96"/>
      <c r="H362" s="107"/>
      <c r="I362" s="123"/>
      <c r="J362" s="96">
        <v>2307</v>
      </c>
      <c r="K362" s="357" t="s">
        <v>5393</v>
      </c>
      <c r="L362" s="912">
        <v>1852484.0852999999</v>
      </c>
      <c r="M362" s="912">
        <v>5546188.8782000002</v>
      </c>
      <c r="N362" s="107">
        <v>35</v>
      </c>
      <c r="O362" s="107" t="s">
        <v>5394</v>
      </c>
      <c r="P362" s="107" t="s">
        <v>5</v>
      </c>
      <c r="Q362" s="107"/>
      <c r="R362" s="107"/>
      <c r="S362" s="107"/>
      <c r="T362" s="127" t="s">
        <v>5770</v>
      </c>
      <c r="U362" s="104" t="s">
        <v>10</v>
      </c>
      <c r="V362" s="25" t="s">
        <v>10</v>
      </c>
      <c r="W362" s="25" t="s">
        <v>16</v>
      </c>
      <c r="X362" s="25" t="s">
        <v>5</v>
      </c>
      <c r="Y362" s="105" t="s">
        <v>5395</v>
      </c>
      <c r="Z362" s="52" t="s">
        <v>5178</v>
      </c>
      <c r="AA362" s="25">
        <v>3</v>
      </c>
      <c r="AB362" s="335" t="s">
        <v>3465</v>
      </c>
      <c r="AC362" s="25">
        <v>24</v>
      </c>
      <c r="AD362" s="25"/>
      <c r="AE362" s="25"/>
      <c r="AF362" s="25">
        <v>12</v>
      </c>
      <c r="AG362" s="386"/>
      <c r="AH362" s="386"/>
      <c r="AI362" s="51" t="s">
        <v>5772</v>
      </c>
      <c r="AJ362" s="25" t="s">
        <v>13</v>
      </c>
      <c r="AK362" s="25"/>
      <c r="AL362" s="386"/>
      <c r="AM362" s="386"/>
      <c r="AN362" s="52" t="s">
        <v>6974</v>
      </c>
      <c r="AO362" s="52" t="s">
        <v>5396</v>
      </c>
      <c r="AP362" s="52" t="s">
        <v>6975</v>
      </c>
      <c r="AQ362" s="52" t="s">
        <v>3457</v>
      </c>
      <c r="AR362" s="53">
        <v>44246</v>
      </c>
      <c r="AS362" s="52" t="s">
        <v>3457</v>
      </c>
      <c r="AT362" s="53">
        <v>44270</v>
      </c>
      <c r="AU362" s="727" t="s">
        <v>37</v>
      </c>
    </row>
    <row r="363" spans="1:47" s="8" customFormat="1" ht="65.25" thickBot="1" x14ac:dyDescent="0.3">
      <c r="A363" s="1037" t="s">
        <v>1606</v>
      </c>
      <c r="B363" s="82" t="s">
        <v>1605</v>
      </c>
      <c r="C363" s="64">
        <v>395</v>
      </c>
      <c r="D363" s="82" t="s">
        <v>53</v>
      </c>
      <c r="E363" s="82"/>
      <c r="F363" s="251" t="s">
        <v>1604</v>
      </c>
      <c r="G363" s="251" t="s">
        <v>1974</v>
      </c>
      <c r="H363" s="251" t="s">
        <v>5495</v>
      </c>
      <c r="I363" s="626" t="s">
        <v>5031</v>
      </c>
      <c r="J363" s="482">
        <v>1126</v>
      </c>
      <c r="K363" s="380" t="s">
        <v>1603</v>
      </c>
      <c r="L363" s="327">
        <v>1822050.8933999999</v>
      </c>
      <c r="M363" s="907">
        <v>5469514.6369000003</v>
      </c>
      <c r="N363" s="301"/>
      <c r="O363" s="301" t="s">
        <v>1602</v>
      </c>
      <c r="P363" s="301" t="s">
        <v>194</v>
      </c>
      <c r="Q363" s="301"/>
      <c r="R363" s="301"/>
      <c r="S363" s="301"/>
      <c r="T363" s="301" t="s">
        <v>1601</v>
      </c>
      <c r="U363" s="314" t="s">
        <v>16</v>
      </c>
      <c r="V363" s="293" t="s">
        <v>16</v>
      </c>
      <c r="W363" s="293" t="s">
        <v>16</v>
      </c>
      <c r="X363" s="293" t="s">
        <v>194</v>
      </c>
      <c r="Y363" s="293" t="s">
        <v>1600</v>
      </c>
      <c r="Z363" s="342" t="s">
        <v>1599</v>
      </c>
      <c r="AA363" s="293"/>
      <c r="AB363" s="293"/>
      <c r="AC363" s="293">
        <v>11.297000000000001</v>
      </c>
      <c r="AD363" s="293">
        <v>12.257999999999999</v>
      </c>
      <c r="AE363" s="293"/>
      <c r="AF363" s="293"/>
      <c r="AG363" s="293"/>
      <c r="AH363" s="293"/>
      <c r="AI363" s="292" t="s">
        <v>549</v>
      </c>
      <c r="AJ363" s="293"/>
      <c r="AK363" s="293"/>
      <c r="AL363" s="293"/>
      <c r="AM363" s="293"/>
      <c r="AN363" s="292" t="s">
        <v>1598</v>
      </c>
      <c r="AO363" s="292" t="s">
        <v>1597</v>
      </c>
      <c r="AP363" s="292" t="s">
        <v>6976</v>
      </c>
      <c r="AQ363" s="292" t="s">
        <v>1380</v>
      </c>
      <c r="AR363" s="291">
        <v>44091</v>
      </c>
      <c r="AS363" s="292" t="s">
        <v>1380</v>
      </c>
      <c r="AT363" s="291">
        <v>44091</v>
      </c>
      <c r="AU363" s="290" t="s">
        <v>37</v>
      </c>
    </row>
    <row r="364" spans="1:47" s="8" customFormat="1" ht="39.75" thickBot="1" x14ac:dyDescent="0.3">
      <c r="A364" s="1038"/>
      <c r="B364" s="571"/>
      <c r="C364" s="67"/>
      <c r="D364" s="571"/>
      <c r="E364" s="571"/>
      <c r="F364" s="312"/>
      <c r="G364" s="312"/>
      <c r="H364" s="312"/>
      <c r="I364" s="313"/>
      <c r="J364" s="482">
        <v>1159</v>
      </c>
      <c r="K364" s="380" t="s">
        <v>1596</v>
      </c>
      <c r="L364" s="327">
        <v>1821967.4815</v>
      </c>
      <c r="M364" s="907">
        <v>5469463.1370999999</v>
      </c>
      <c r="N364" s="301"/>
      <c r="O364" s="301" t="s">
        <v>1595</v>
      </c>
      <c r="P364" s="301" t="s">
        <v>194</v>
      </c>
      <c r="Q364" s="301"/>
      <c r="R364" s="301"/>
      <c r="S364" s="301"/>
      <c r="T364" s="301" t="s">
        <v>1595</v>
      </c>
      <c r="U364" s="314" t="s">
        <v>16</v>
      </c>
      <c r="V364" s="293" t="s">
        <v>85</v>
      </c>
      <c r="W364" s="293" t="s">
        <v>85</v>
      </c>
      <c r="X364" s="293" t="s">
        <v>194</v>
      </c>
      <c r="Y364" s="293">
        <v>4.2</v>
      </c>
      <c r="Z364" s="342" t="s">
        <v>1557</v>
      </c>
      <c r="AA364" s="293"/>
      <c r="AB364" s="293">
        <v>10</v>
      </c>
      <c r="AC364" s="293"/>
      <c r="AD364" s="293"/>
      <c r="AE364" s="293"/>
      <c r="AF364" s="293"/>
      <c r="AG364" s="293"/>
      <c r="AH364" s="293"/>
      <c r="AI364" s="292" t="s">
        <v>256</v>
      </c>
      <c r="AJ364" s="293"/>
      <c r="AK364" s="293"/>
      <c r="AL364" s="293"/>
      <c r="AM364" s="293"/>
      <c r="AN364" s="292" t="s">
        <v>1594</v>
      </c>
      <c r="AO364" s="292" t="s">
        <v>1593</v>
      </c>
      <c r="AP364" s="292" t="s">
        <v>6977</v>
      </c>
      <c r="AQ364" s="292" t="s">
        <v>1380</v>
      </c>
      <c r="AR364" s="291">
        <v>44091</v>
      </c>
      <c r="AS364" s="292" t="s">
        <v>1380</v>
      </c>
      <c r="AT364" s="291">
        <v>44091</v>
      </c>
      <c r="AU364" s="290" t="s">
        <v>37</v>
      </c>
    </row>
    <row r="365" spans="1:47" s="8" customFormat="1" ht="65.25" thickBot="1" x14ac:dyDescent="0.3">
      <c r="A365" s="1038"/>
      <c r="B365" s="571"/>
      <c r="C365" s="67"/>
      <c r="D365" s="571"/>
      <c r="E365" s="571"/>
      <c r="F365" s="312"/>
      <c r="G365" s="312"/>
      <c r="H365" s="312"/>
      <c r="I365" s="313"/>
      <c r="J365" s="521">
        <v>1160</v>
      </c>
      <c r="K365" s="468" t="s">
        <v>1592</v>
      </c>
      <c r="L365" s="939">
        <v>1823446.3062</v>
      </c>
      <c r="M365" s="921">
        <v>5470344.8629999999</v>
      </c>
      <c r="N365" s="306">
        <v>70</v>
      </c>
      <c r="O365" s="306" t="s">
        <v>676</v>
      </c>
      <c r="P365" s="306" t="s">
        <v>194</v>
      </c>
      <c r="Q365" s="306"/>
      <c r="R365" s="306"/>
      <c r="S365" s="306"/>
      <c r="T365" s="306" t="s">
        <v>676</v>
      </c>
      <c r="U365" s="326" t="s">
        <v>16</v>
      </c>
      <c r="V365" s="281" t="s">
        <v>85</v>
      </c>
      <c r="W365" s="281" t="s">
        <v>85</v>
      </c>
      <c r="X365" s="281" t="s">
        <v>194</v>
      </c>
      <c r="Y365" s="281">
        <v>10.7</v>
      </c>
      <c r="Z365" s="388" t="s">
        <v>1591</v>
      </c>
      <c r="AA365" s="281"/>
      <c r="AB365" s="304" t="s">
        <v>885</v>
      </c>
      <c r="AC365" s="281"/>
      <c r="AD365" s="281">
        <v>10</v>
      </c>
      <c r="AE365" s="281">
        <v>14</v>
      </c>
      <c r="AF365" s="281"/>
      <c r="AG365" s="281"/>
      <c r="AH365" s="281"/>
      <c r="AI365" s="280" t="s">
        <v>256</v>
      </c>
      <c r="AJ365" s="281"/>
      <c r="AK365" s="281"/>
      <c r="AL365" s="281"/>
      <c r="AM365" s="281"/>
      <c r="AN365" s="280" t="s">
        <v>1590</v>
      </c>
      <c r="AO365" s="280" t="s">
        <v>1589</v>
      </c>
      <c r="AP365" s="280" t="s">
        <v>6976</v>
      </c>
      <c r="AQ365" s="280" t="s">
        <v>1380</v>
      </c>
      <c r="AR365" s="279">
        <v>44091</v>
      </c>
      <c r="AS365" s="280" t="s">
        <v>1380</v>
      </c>
      <c r="AT365" s="279">
        <v>44091</v>
      </c>
      <c r="AU365" s="278" t="s">
        <v>37</v>
      </c>
    </row>
    <row r="366" spans="1:47" s="8" customFormat="1" ht="64.5" x14ac:dyDescent="0.25">
      <c r="A366" s="1038"/>
      <c r="B366" s="571"/>
      <c r="C366" s="67"/>
      <c r="D366" s="571"/>
      <c r="E366" s="571"/>
      <c r="F366" s="312"/>
      <c r="G366" s="312"/>
      <c r="H366" s="312"/>
      <c r="I366" s="313"/>
      <c r="J366" s="398">
        <v>1161</v>
      </c>
      <c r="K366" s="65" t="s">
        <v>1588</v>
      </c>
      <c r="L366" s="940">
        <v>1823072.0412000001</v>
      </c>
      <c r="M366" s="909">
        <v>5470233.4242000002</v>
      </c>
      <c r="N366" s="251"/>
      <c r="O366" s="251" t="s">
        <v>1587</v>
      </c>
      <c r="P366" s="251" t="s">
        <v>194</v>
      </c>
      <c r="Q366" s="251" t="s">
        <v>1586</v>
      </c>
      <c r="R366" s="251"/>
      <c r="S366" s="251"/>
      <c r="T366" s="251" t="s">
        <v>1585</v>
      </c>
      <c r="U366" s="321" t="s">
        <v>16</v>
      </c>
      <c r="V366" s="287" t="s">
        <v>85</v>
      </c>
      <c r="W366" s="287" t="s">
        <v>85</v>
      </c>
      <c r="X366" s="287" t="s">
        <v>194</v>
      </c>
      <c r="Y366" s="287">
        <v>17.8</v>
      </c>
      <c r="Z366" s="389" t="s">
        <v>1557</v>
      </c>
      <c r="AA366" s="287"/>
      <c r="AB366" s="287" t="s">
        <v>1581</v>
      </c>
      <c r="AC366" s="287"/>
      <c r="AD366" s="287">
        <v>24</v>
      </c>
      <c r="AE366" s="287">
        <v>71</v>
      </c>
      <c r="AF366" s="287"/>
      <c r="AG366" s="287"/>
      <c r="AH366" s="287"/>
      <c r="AI366" s="286" t="s">
        <v>256</v>
      </c>
      <c r="AJ366" s="287"/>
      <c r="AK366" s="287"/>
      <c r="AL366" s="287"/>
      <c r="AM366" s="287"/>
      <c r="AN366" s="286" t="s">
        <v>1584</v>
      </c>
      <c r="AO366" s="286" t="s">
        <v>1579</v>
      </c>
      <c r="AP366" s="286" t="s">
        <v>6977</v>
      </c>
      <c r="AQ366" s="286" t="s">
        <v>1380</v>
      </c>
      <c r="AR366" s="285">
        <v>44091</v>
      </c>
      <c r="AS366" s="286" t="s">
        <v>1380</v>
      </c>
      <c r="AT366" s="285">
        <v>44091</v>
      </c>
      <c r="AU366" s="284" t="s">
        <v>37</v>
      </c>
    </row>
    <row r="367" spans="1:47" s="8" customFormat="1" ht="65.25" thickBot="1" x14ac:dyDescent="0.3">
      <c r="A367" s="1047"/>
      <c r="B367" s="323"/>
      <c r="C367" s="69"/>
      <c r="D367" s="323"/>
      <c r="E367" s="323"/>
      <c r="F367" s="233"/>
      <c r="G367" s="233"/>
      <c r="H367" s="233"/>
      <c r="I367" s="234"/>
      <c r="J367" s="399">
        <v>1158</v>
      </c>
      <c r="K367" s="70" t="s">
        <v>1583</v>
      </c>
      <c r="L367" s="941">
        <v>1823069.3374000001</v>
      </c>
      <c r="M367" s="910">
        <v>5470263.5220999997</v>
      </c>
      <c r="N367" s="233"/>
      <c r="O367" s="233" t="s">
        <v>41</v>
      </c>
      <c r="P367" s="233" t="s">
        <v>194</v>
      </c>
      <c r="Q367" s="233"/>
      <c r="R367" s="233"/>
      <c r="S367" s="233"/>
      <c r="T367" s="233" t="s">
        <v>1582</v>
      </c>
      <c r="U367" s="318" t="s">
        <v>16</v>
      </c>
      <c r="V367" s="272" t="s">
        <v>85</v>
      </c>
      <c r="W367" s="272" t="s">
        <v>85</v>
      </c>
      <c r="X367" s="272" t="s">
        <v>194</v>
      </c>
      <c r="Y367" s="272">
        <v>15.2</v>
      </c>
      <c r="Z367" s="391" t="s">
        <v>1557</v>
      </c>
      <c r="AA367" s="272"/>
      <c r="AB367" s="272" t="s">
        <v>1581</v>
      </c>
      <c r="AC367" s="272"/>
      <c r="AD367" s="272">
        <v>24</v>
      </c>
      <c r="AE367" s="272">
        <v>71</v>
      </c>
      <c r="AF367" s="272"/>
      <c r="AG367" s="272"/>
      <c r="AH367" s="272"/>
      <c r="AI367" s="271" t="s">
        <v>256</v>
      </c>
      <c r="AJ367" s="272"/>
      <c r="AK367" s="272"/>
      <c r="AL367" s="272"/>
      <c r="AM367" s="272"/>
      <c r="AN367" s="271" t="s">
        <v>1580</v>
      </c>
      <c r="AO367" s="271" t="s">
        <v>1579</v>
      </c>
      <c r="AP367" s="271" t="s">
        <v>6978</v>
      </c>
      <c r="AQ367" s="271" t="s">
        <v>1380</v>
      </c>
      <c r="AR367" s="270">
        <v>44091</v>
      </c>
      <c r="AS367" s="271" t="s">
        <v>1380</v>
      </c>
      <c r="AT367" s="270">
        <v>44091</v>
      </c>
      <c r="AU367" s="269" t="s">
        <v>37</v>
      </c>
    </row>
    <row r="368" spans="1:47" s="478" customFormat="1" ht="39" x14ac:dyDescent="0.25">
      <c r="A368" s="341" t="s">
        <v>3515</v>
      </c>
      <c r="B368" s="181" t="s">
        <v>3508</v>
      </c>
      <c r="C368" s="125">
        <v>486</v>
      </c>
      <c r="D368" s="585" t="s">
        <v>52</v>
      </c>
      <c r="E368" s="585"/>
      <c r="F368" s="125" t="s">
        <v>4679</v>
      </c>
      <c r="G368" s="125" t="s">
        <v>1973</v>
      </c>
      <c r="H368" s="126" t="s">
        <v>5306</v>
      </c>
      <c r="I368" s="247" t="s">
        <v>5496</v>
      </c>
      <c r="J368" s="189">
        <v>2109</v>
      </c>
      <c r="K368" s="355" t="s">
        <v>3514</v>
      </c>
      <c r="L368" s="897">
        <v>1808743.9025000001</v>
      </c>
      <c r="M368" s="897">
        <v>5535845.8420000002</v>
      </c>
      <c r="N368" s="126"/>
      <c r="O368" s="126" t="s">
        <v>3516</v>
      </c>
      <c r="P368" s="126" t="s">
        <v>194</v>
      </c>
      <c r="Q368" s="553"/>
      <c r="R368" s="553"/>
      <c r="S368" s="553"/>
      <c r="T368" s="289" t="s">
        <v>5773</v>
      </c>
      <c r="U368" s="288" t="s">
        <v>10</v>
      </c>
      <c r="V368" s="97" t="s">
        <v>16</v>
      </c>
      <c r="W368" s="97" t="s">
        <v>16</v>
      </c>
      <c r="X368" s="97" t="s">
        <v>194</v>
      </c>
      <c r="Y368" s="302" t="s">
        <v>3519</v>
      </c>
      <c r="Z368" s="40" t="s">
        <v>3488</v>
      </c>
      <c r="AA368" s="97">
        <v>2</v>
      </c>
      <c r="AB368" s="302" t="s">
        <v>3484</v>
      </c>
      <c r="AC368" s="97">
        <v>128</v>
      </c>
      <c r="AD368" s="97"/>
      <c r="AE368" s="97"/>
      <c r="AF368" s="97">
        <v>71</v>
      </c>
      <c r="AG368" s="97"/>
      <c r="AH368" s="97"/>
      <c r="AI368" s="30" t="s">
        <v>256</v>
      </c>
      <c r="AJ368" s="97" t="s">
        <v>13</v>
      </c>
      <c r="AK368" s="97"/>
      <c r="AL368" s="97"/>
      <c r="AM368" s="97"/>
      <c r="AN368" s="40" t="s">
        <v>5775</v>
      </c>
      <c r="AO368" s="286" t="s">
        <v>3513</v>
      </c>
      <c r="AP368" s="40" t="s">
        <v>6923</v>
      </c>
      <c r="AQ368" s="40" t="s">
        <v>3457</v>
      </c>
      <c r="AR368" s="41">
        <v>44138</v>
      </c>
      <c r="AS368" s="40" t="s">
        <v>3457</v>
      </c>
      <c r="AT368" s="285">
        <v>44270</v>
      </c>
      <c r="AU368" s="284" t="s">
        <v>37</v>
      </c>
    </row>
    <row r="369" spans="1:47" ht="26.25" x14ac:dyDescent="0.25">
      <c r="A369" s="339"/>
      <c r="B369" s="338"/>
      <c r="C369" s="277"/>
      <c r="D369" s="565"/>
      <c r="E369" s="565"/>
      <c r="F369" s="277"/>
      <c r="G369" s="277"/>
      <c r="H369" s="276"/>
      <c r="I369" s="122"/>
      <c r="J369" s="191">
        <v>2110</v>
      </c>
      <c r="K369" s="356" t="s">
        <v>3512</v>
      </c>
      <c r="L369" s="920">
        <v>1810591.6166000001</v>
      </c>
      <c r="M369" s="920">
        <v>5537679.0811000001</v>
      </c>
      <c r="N369" s="276"/>
      <c r="O369" s="276" t="s">
        <v>3517</v>
      </c>
      <c r="P369" s="276" t="s">
        <v>194</v>
      </c>
      <c r="Q369" s="554"/>
      <c r="R369" s="554"/>
      <c r="S369" s="554"/>
      <c r="T369" s="283" t="s">
        <v>3511</v>
      </c>
      <c r="U369" s="282" t="s">
        <v>10</v>
      </c>
      <c r="V369" s="185" t="s">
        <v>16</v>
      </c>
      <c r="W369" s="185" t="s">
        <v>16</v>
      </c>
      <c r="X369" s="185" t="s">
        <v>194</v>
      </c>
      <c r="Y369" s="304" t="s">
        <v>3520</v>
      </c>
      <c r="Z369" s="3" t="s">
        <v>3488</v>
      </c>
      <c r="AA369" s="185">
        <v>2</v>
      </c>
      <c r="AB369" s="304" t="s">
        <v>3484</v>
      </c>
      <c r="AC369" s="185">
        <v>128</v>
      </c>
      <c r="AD369" s="185"/>
      <c r="AE369" s="185"/>
      <c r="AF369" s="185">
        <v>71</v>
      </c>
      <c r="AG369" s="185"/>
      <c r="AH369" s="185"/>
      <c r="AI369" s="16" t="s">
        <v>256</v>
      </c>
      <c r="AJ369" s="185" t="s">
        <v>13</v>
      </c>
      <c r="AK369" s="185"/>
      <c r="AL369" s="185"/>
      <c r="AM369" s="185"/>
      <c r="AN369" s="3" t="s">
        <v>5776</v>
      </c>
      <c r="AO369" s="280" t="s">
        <v>3509</v>
      </c>
      <c r="AP369" s="3" t="s">
        <v>6923</v>
      </c>
      <c r="AQ369" s="3" t="s">
        <v>3457</v>
      </c>
      <c r="AR369" s="186">
        <v>44138</v>
      </c>
      <c r="AS369" s="3" t="s">
        <v>3457</v>
      </c>
      <c r="AT369" s="279">
        <v>44270</v>
      </c>
      <c r="AU369" s="278" t="s">
        <v>37</v>
      </c>
    </row>
    <row r="370" spans="1:47" ht="26.25" x14ac:dyDescent="0.25">
      <c r="A370" s="339"/>
      <c r="B370" s="338"/>
      <c r="C370" s="277"/>
      <c r="D370" s="565"/>
      <c r="E370" s="565"/>
      <c r="F370" s="277"/>
      <c r="G370" s="277"/>
      <c r="H370" s="276"/>
      <c r="I370" s="122"/>
      <c r="J370" s="191">
        <v>2111</v>
      </c>
      <c r="K370" s="356" t="s">
        <v>3505</v>
      </c>
      <c r="L370" s="920">
        <v>1812536.9095000001</v>
      </c>
      <c r="M370" s="920">
        <v>5546763.8903999999</v>
      </c>
      <c r="N370" s="276"/>
      <c r="O370" s="276" t="s">
        <v>3518</v>
      </c>
      <c r="P370" s="276" t="s">
        <v>194</v>
      </c>
      <c r="Q370" s="554"/>
      <c r="R370" s="554"/>
      <c r="S370" s="554"/>
      <c r="T370" s="283" t="s">
        <v>5774</v>
      </c>
      <c r="U370" s="282" t="s">
        <v>10</v>
      </c>
      <c r="V370" s="185" t="s">
        <v>16</v>
      </c>
      <c r="W370" s="185" t="s">
        <v>16</v>
      </c>
      <c r="X370" s="185" t="s">
        <v>194</v>
      </c>
      <c r="Y370" s="304" t="s">
        <v>3521</v>
      </c>
      <c r="Z370" s="3" t="s">
        <v>3507</v>
      </c>
      <c r="AA370" s="185">
        <v>2</v>
      </c>
      <c r="AB370" s="304" t="s">
        <v>3503</v>
      </c>
      <c r="AC370" s="185">
        <v>339</v>
      </c>
      <c r="AD370" s="185"/>
      <c r="AE370" s="185"/>
      <c r="AF370" s="185">
        <v>303</v>
      </c>
      <c r="AG370" s="185"/>
      <c r="AH370" s="185"/>
      <c r="AI370" s="16" t="s">
        <v>256</v>
      </c>
      <c r="AJ370" s="185" t="s">
        <v>3502</v>
      </c>
      <c r="AK370" s="185"/>
      <c r="AL370" s="185"/>
      <c r="AM370" s="185"/>
      <c r="AN370" s="3" t="s">
        <v>5777</v>
      </c>
      <c r="AO370" s="280" t="s">
        <v>3506</v>
      </c>
      <c r="AP370" s="3" t="s">
        <v>6923</v>
      </c>
      <c r="AQ370" s="3" t="s">
        <v>3457</v>
      </c>
      <c r="AR370" s="186">
        <v>44138</v>
      </c>
      <c r="AS370" s="3" t="s">
        <v>3457</v>
      </c>
      <c r="AT370" s="279">
        <v>44270</v>
      </c>
      <c r="AU370" s="278" t="s">
        <v>37</v>
      </c>
    </row>
    <row r="371" spans="1:47" ht="27" thickBot="1" x14ac:dyDescent="0.3">
      <c r="A371" s="336"/>
      <c r="B371" s="196"/>
      <c r="C371" s="96"/>
      <c r="D371" s="566"/>
      <c r="E371" s="566"/>
      <c r="F371" s="96"/>
      <c r="G371" s="96"/>
      <c r="H371" s="107"/>
      <c r="I371" s="123"/>
      <c r="J371" s="190">
        <v>2112</v>
      </c>
      <c r="K371" s="357" t="s">
        <v>5688</v>
      </c>
      <c r="L371" s="898">
        <v>1812153.1318000001</v>
      </c>
      <c r="M371" s="898">
        <v>5541987.8973000003</v>
      </c>
      <c r="N371" s="107"/>
      <c r="O371" s="107" t="s">
        <v>3518</v>
      </c>
      <c r="P371" s="107" t="s">
        <v>194</v>
      </c>
      <c r="Q371" s="555"/>
      <c r="R371" s="555"/>
      <c r="S371" s="555"/>
      <c r="T371" s="274" t="s">
        <v>5774</v>
      </c>
      <c r="U371" s="273" t="s">
        <v>10</v>
      </c>
      <c r="V371" s="120" t="s">
        <v>16</v>
      </c>
      <c r="W371" s="120" t="s">
        <v>16</v>
      </c>
      <c r="X371" s="120" t="s">
        <v>194</v>
      </c>
      <c r="Y371" s="317" t="s">
        <v>3521</v>
      </c>
      <c r="Z371" s="52" t="s">
        <v>3504</v>
      </c>
      <c r="AA371" s="120">
        <v>1</v>
      </c>
      <c r="AB371" s="317" t="s">
        <v>3503</v>
      </c>
      <c r="AC371" s="120">
        <v>339</v>
      </c>
      <c r="AD371" s="120"/>
      <c r="AE371" s="120"/>
      <c r="AF371" s="120">
        <v>303</v>
      </c>
      <c r="AG371" s="120"/>
      <c r="AH371" s="120"/>
      <c r="AI371" s="51" t="s">
        <v>256</v>
      </c>
      <c r="AJ371" s="120" t="s">
        <v>3502</v>
      </c>
      <c r="AK371" s="120"/>
      <c r="AL371" s="120"/>
      <c r="AM371" s="120"/>
      <c r="AN371" s="52" t="s">
        <v>5778</v>
      </c>
      <c r="AO371" s="52" t="s">
        <v>3501</v>
      </c>
      <c r="AP371" s="52" t="s">
        <v>6923</v>
      </c>
      <c r="AQ371" s="52" t="s">
        <v>3457</v>
      </c>
      <c r="AR371" s="53">
        <v>44138</v>
      </c>
      <c r="AS371" s="52" t="s">
        <v>3457</v>
      </c>
      <c r="AT371" s="270">
        <v>44270</v>
      </c>
      <c r="AU371" s="269" t="s">
        <v>37</v>
      </c>
    </row>
    <row r="372" spans="1:47" s="135" customFormat="1" ht="39" x14ac:dyDescent="0.25">
      <c r="A372" s="487" t="s">
        <v>1340</v>
      </c>
      <c r="B372" s="128" t="s">
        <v>6819</v>
      </c>
      <c r="C372" s="72">
        <v>205</v>
      </c>
      <c r="D372" s="586" t="s">
        <v>57</v>
      </c>
      <c r="E372" s="586"/>
      <c r="F372" s="72" t="s">
        <v>668</v>
      </c>
      <c r="G372" s="140" t="s">
        <v>1238</v>
      </c>
      <c r="H372" s="129" t="s">
        <v>2087</v>
      </c>
      <c r="I372" s="381" t="s">
        <v>5595</v>
      </c>
      <c r="J372" s="187">
        <v>244</v>
      </c>
      <c r="K372" s="73" t="s">
        <v>1344</v>
      </c>
      <c r="L372" s="914">
        <v>1877641.1767</v>
      </c>
      <c r="M372" s="914">
        <v>5755480.7210999997</v>
      </c>
      <c r="N372" s="129"/>
      <c r="O372" s="129" t="s">
        <v>1341</v>
      </c>
      <c r="P372" s="129" t="s">
        <v>194</v>
      </c>
      <c r="Q372" s="1070"/>
      <c r="R372" s="1070"/>
      <c r="S372" s="1070"/>
      <c r="T372" s="266" t="s">
        <v>1345</v>
      </c>
      <c r="U372" s="169" t="s">
        <v>16</v>
      </c>
      <c r="V372" s="151" t="s">
        <v>16</v>
      </c>
      <c r="W372" s="151" t="s">
        <v>16</v>
      </c>
      <c r="X372" s="153" t="s">
        <v>194</v>
      </c>
      <c r="Y372" s="153" t="s">
        <v>1346</v>
      </c>
      <c r="Z372" s="152" t="s">
        <v>1179</v>
      </c>
      <c r="AA372" s="153">
        <v>1</v>
      </c>
      <c r="AB372" s="153" t="s">
        <v>1347</v>
      </c>
      <c r="AC372" s="151">
        <v>260</v>
      </c>
      <c r="AD372" s="151">
        <v>230</v>
      </c>
      <c r="AE372" s="151">
        <v>290</v>
      </c>
      <c r="AF372" s="151"/>
      <c r="AG372" s="151"/>
      <c r="AH372" s="151"/>
      <c r="AI372" s="203" t="s">
        <v>256</v>
      </c>
      <c r="AJ372" s="202"/>
      <c r="AK372" s="202"/>
      <c r="AL372" s="442"/>
      <c r="AM372" s="442"/>
      <c r="AN372" s="30" t="s">
        <v>1348</v>
      </c>
      <c r="AO372" s="30" t="s">
        <v>1353</v>
      </c>
      <c r="AP372" s="152" t="s">
        <v>1165</v>
      </c>
      <c r="AQ372" s="152" t="s">
        <v>37</v>
      </c>
      <c r="AR372" s="170">
        <v>44097</v>
      </c>
      <c r="AS372" s="152" t="s">
        <v>37</v>
      </c>
      <c r="AT372" s="361"/>
      <c r="AU372" s="1112"/>
    </row>
    <row r="373" spans="1:47" s="135" customFormat="1" ht="39" x14ac:dyDescent="0.25">
      <c r="A373" s="488"/>
      <c r="B373" s="131"/>
      <c r="C373" s="75"/>
      <c r="D373" s="568"/>
      <c r="E373" s="568"/>
      <c r="F373" s="75"/>
      <c r="G373" s="143"/>
      <c r="H373" s="118"/>
      <c r="I373" s="121"/>
      <c r="J373" s="188">
        <v>245</v>
      </c>
      <c r="K373" s="76" t="s">
        <v>1343</v>
      </c>
      <c r="L373" s="915">
        <v>1875313.6103999999</v>
      </c>
      <c r="M373" s="915">
        <v>5752094.5869000005</v>
      </c>
      <c r="N373" s="118"/>
      <c r="O373" s="118" t="s">
        <v>1341</v>
      </c>
      <c r="P373" s="118" t="s">
        <v>194</v>
      </c>
      <c r="Q373" s="118"/>
      <c r="R373" s="118"/>
      <c r="S373" s="118"/>
      <c r="T373" s="601" t="s">
        <v>1345</v>
      </c>
      <c r="U373" s="138" t="s">
        <v>16</v>
      </c>
      <c r="V373" s="136" t="s">
        <v>16</v>
      </c>
      <c r="W373" s="136" t="s">
        <v>16</v>
      </c>
      <c r="X373" s="132" t="s">
        <v>194</v>
      </c>
      <c r="Y373" s="132" t="s">
        <v>1346</v>
      </c>
      <c r="Z373" s="137" t="s">
        <v>1179</v>
      </c>
      <c r="AA373" s="132">
        <v>1</v>
      </c>
      <c r="AB373" s="132" t="s">
        <v>1347</v>
      </c>
      <c r="AC373" s="136">
        <v>260</v>
      </c>
      <c r="AD373" s="136">
        <v>230</v>
      </c>
      <c r="AE373" s="136">
        <v>290</v>
      </c>
      <c r="AF373" s="136"/>
      <c r="AG373" s="136"/>
      <c r="AH373" s="136"/>
      <c r="AI373" s="180" t="s">
        <v>256</v>
      </c>
      <c r="AJ373" s="173"/>
      <c r="AK373" s="173"/>
      <c r="AL373" s="350"/>
      <c r="AM373" s="350"/>
      <c r="AN373" s="45" t="s">
        <v>1348</v>
      </c>
      <c r="AO373" s="45" t="s">
        <v>1353</v>
      </c>
      <c r="AP373" s="137" t="s">
        <v>1165</v>
      </c>
      <c r="AQ373" s="137" t="s">
        <v>37</v>
      </c>
      <c r="AR373" s="139">
        <v>44097</v>
      </c>
      <c r="AS373" s="137" t="s">
        <v>37</v>
      </c>
      <c r="AT373" s="358"/>
      <c r="AU373" s="1110"/>
    </row>
    <row r="374" spans="1:47" s="135" customFormat="1" ht="51.75" x14ac:dyDescent="0.25">
      <c r="A374" s="488"/>
      <c r="B374" s="131"/>
      <c r="C374" s="75"/>
      <c r="D374" s="568"/>
      <c r="E374" s="568"/>
      <c r="F374" s="75"/>
      <c r="G374" s="143"/>
      <c r="H374" s="118"/>
      <c r="I374" s="121"/>
      <c r="J374" s="188">
        <v>246</v>
      </c>
      <c r="K374" s="76" t="s">
        <v>1357</v>
      </c>
      <c r="L374" s="915">
        <v>1883388.7098999999</v>
      </c>
      <c r="M374" s="915">
        <v>5763577.5264999997</v>
      </c>
      <c r="N374" s="118"/>
      <c r="O374" s="118" t="s">
        <v>1349</v>
      </c>
      <c r="P374" s="118" t="s">
        <v>194</v>
      </c>
      <c r="Q374" s="1071"/>
      <c r="R374" s="1071"/>
      <c r="S374" s="1071"/>
      <c r="T374" s="601" t="s">
        <v>1350</v>
      </c>
      <c r="U374" s="138" t="s">
        <v>16</v>
      </c>
      <c r="V374" s="136" t="s">
        <v>16</v>
      </c>
      <c r="W374" s="136" t="s">
        <v>16</v>
      </c>
      <c r="X374" s="132" t="s">
        <v>194</v>
      </c>
      <c r="Y374" s="132" t="s">
        <v>1351</v>
      </c>
      <c r="Z374" s="137" t="s">
        <v>1162</v>
      </c>
      <c r="AA374" s="132">
        <v>1</v>
      </c>
      <c r="AB374" s="132" t="s">
        <v>1352</v>
      </c>
      <c r="AC374" s="136">
        <v>64</v>
      </c>
      <c r="AD374" s="136">
        <v>60</v>
      </c>
      <c r="AE374" s="136">
        <v>68</v>
      </c>
      <c r="AF374" s="136"/>
      <c r="AG374" s="136"/>
      <c r="AH374" s="136"/>
      <c r="AI374" s="180" t="s">
        <v>256</v>
      </c>
      <c r="AJ374" s="173"/>
      <c r="AK374" s="173"/>
      <c r="AL374" s="350"/>
      <c r="AM374" s="350"/>
      <c r="AN374" s="45" t="s">
        <v>1356</v>
      </c>
      <c r="AO374" s="45" t="s">
        <v>1355</v>
      </c>
      <c r="AP374" s="137" t="s">
        <v>1165</v>
      </c>
      <c r="AQ374" s="137" t="s">
        <v>37</v>
      </c>
      <c r="AR374" s="139">
        <v>44097</v>
      </c>
      <c r="AS374" s="137" t="s">
        <v>37</v>
      </c>
      <c r="AT374" s="358"/>
      <c r="AU374" s="1110"/>
    </row>
    <row r="375" spans="1:47" s="135" customFormat="1" ht="65.25" thickBot="1" x14ac:dyDescent="0.3">
      <c r="A375" s="489"/>
      <c r="B375" s="133"/>
      <c r="C375" s="78"/>
      <c r="D375" s="569"/>
      <c r="E375" s="569"/>
      <c r="F375" s="78"/>
      <c r="G375" s="144"/>
      <c r="H375" s="119"/>
      <c r="I375" s="429"/>
      <c r="J375" s="192">
        <v>247</v>
      </c>
      <c r="K375" s="79" t="s">
        <v>1358</v>
      </c>
      <c r="L375" s="916">
        <v>1878021.3233</v>
      </c>
      <c r="M375" s="916">
        <v>5757106.7950999998</v>
      </c>
      <c r="N375" s="119"/>
      <c r="O375" s="119" t="s">
        <v>1359</v>
      </c>
      <c r="P375" s="119" t="s">
        <v>194</v>
      </c>
      <c r="Q375" s="1072"/>
      <c r="R375" s="1072"/>
      <c r="S375" s="1072"/>
      <c r="T375" s="267" t="s">
        <v>1360</v>
      </c>
      <c r="U375" s="171" t="s">
        <v>16</v>
      </c>
      <c r="V375" s="154" t="s">
        <v>16</v>
      </c>
      <c r="W375" s="154" t="s">
        <v>16</v>
      </c>
      <c r="X375" s="156" t="s">
        <v>194</v>
      </c>
      <c r="Y375" s="156" t="s">
        <v>1361</v>
      </c>
      <c r="Z375" s="155" t="s">
        <v>1162</v>
      </c>
      <c r="AA375" s="156">
        <v>1</v>
      </c>
      <c r="AB375" s="156" t="s">
        <v>1163</v>
      </c>
      <c r="AC375" s="154">
        <v>20</v>
      </c>
      <c r="AD375" s="154">
        <v>18</v>
      </c>
      <c r="AE375" s="154">
        <v>22</v>
      </c>
      <c r="AF375" s="154"/>
      <c r="AG375" s="154"/>
      <c r="AH375" s="154"/>
      <c r="AI375" s="183" t="s">
        <v>256</v>
      </c>
      <c r="AJ375" s="201"/>
      <c r="AK375" s="201"/>
      <c r="AL375" s="443"/>
      <c r="AM375" s="443"/>
      <c r="AN375" s="51" t="s">
        <v>1362</v>
      </c>
      <c r="AO375" s="51" t="s">
        <v>1363</v>
      </c>
      <c r="AP375" s="155" t="s">
        <v>1165</v>
      </c>
      <c r="AQ375" s="155" t="s">
        <v>37</v>
      </c>
      <c r="AR375" s="172">
        <v>44097</v>
      </c>
      <c r="AS375" s="155" t="s">
        <v>37</v>
      </c>
      <c r="AT375" s="362"/>
      <c r="AU375" s="1111"/>
    </row>
    <row r="376" spans="1:47" s="8" customFormat="1" ht="27" thickBot="1" x14ac:dyDescent="0.3">
      <c r="A376" s="1041" t="s">
        <v>3614</v>
      </c>
      <c r="B376" s="589" t="s">
        <v>6820</v>
      </c>
      <c r="C376" s="110">
        <v>624</v>
      </c>
      <c r="D376" s="589" t="s">
        <v>52</v>
      </c>
      <c r="E376" s="589"/>
      <c r="F376" s="296" t="s">
        <v>1131</v>
      </c>
      <c r="G376" s="296" t="s">
        <v>1263</v>
      </c>
      <c r="H376" s="296" t="s">
        <v>6845</v>
      </c>
      <c r="I376" s="625" t="s">
        <v>41</v>
      </c>
      <c r="J376" s="476">
        <v>1307</v>
      </c>
      <c r="K376" s="449" t="s">
        <v>3613</v>
      </c>
      <c r="L376" s="908">
        <v>1621785.6784000001</v>
      </c>
      <c r="M376" s="908">
        <v>5285692.1595000001</v>
      </c>
      <c r="N376" s="296"/>
      <c r="O376" s="296" t="s">
        <v>41</v>
      </c>
      <c r="P376" s="296" t="s">
        <v>41</v>
      </c>
      <c r="Q376" s="296"/>
      <c r="R376" s="296"/>
      <c r="S376" s="296"/>
      <c r="T376" s="295" t="s">
        <v>6845</v>
      </c>
      <c r="U376" s="458" t="s">
        <v>41</v>
      </c>
      <c r="V376" s="375" t="s">
        <v>41</v>
      </c>
      <c r="W376" s="375" t="s">
        <v>41</v>
      </c>
      <c r="X376" s="375" t="s">
        <v>41</v>
      </c>
      <c r="Y376" s="375" t="s">
        <v>41</v>
      </c>
      <c r="Z376" s="390" t="s">
        <v>41</v>
      </c>
      <c r="AA376" s="375" t="s">
        <v>41</v>
      </c>
      <c r="AB376" s="375" t="s">
        <v>41</v>
      </c>
      <c r="AC376" s="375" t="s">
        <v>41</v>
      </c>
      <c r="AD376" s="375" t="s">
        <v>41</v>
      </c>
      <c r="AE376" s="375" t="s">
        <v>41</v>
      </c>
      <c r="AF376" s="375" t="s">
        <v>41</v>
      </c>
      <c r="AG376" s="375" t="s">
        <v>41</v>
      </c>
      <c r="AH376" s="375" t="s">
        <v>41</v>
      </c>
      <c r="AI376" s="374" t="s">
        <v>41</v>
      </c>
      <c r="AJ376" s="375" t="s">
        <v>41</v>
      </c>
      <c r="AK376" s="375" t="s">
        <v>41</v>
      </c>
      <c r="AL376" s="375" t="s">
        <v>41</v>
      </c>
      <c r="AM376" s="375" t="s">
        <v>41</v>
      </c>
      <c r="AN376" s="374" t="s">
        <v>3612</v>
      </c>
      <c r="AO376" s="374" t="s">
        <v>41</v>
      </c>
      <c r="AP376" s="292" t="s">
        <v>3611</v>
      </c>
      <c r="AQ376" s="292" t="s">
        <v>1380</v>
      </c>
      <c r="AR376" s="291">
        <v>44147</v>
      </c>
      <c r="AS376" s="292" t="s">
        <v>1380</v>
      </c>
      <c r="AT376" s="292"/>
      <c r="AU376" s="290"/>
    </row>
    <row r="377" spans="1:47" s="551" customFormat="1" ht="64.5" x14ac:dyDescent="0.25">
      <c r="A377" s="488" t="s">
        <v>5947</v>
      </c>
      <c r="B377" s="131" t="s">
        <v>5947</v>
      </c>
      <c r="C377" s="75">
        <v>189</v>
      </c>
      <c r="D377" s="568" t="s">
        <v>57</v>
      </c>
      <c r="E377" s="568"/>
      <c r="F377" s="72" t="s">
        <v>4679</v>
      </c>
      <c r="G377" s="140" t="s">
        <v>1238</v>
      </c>
      <c r="H377" s="118" t="s">
        <v>5948</v>
      </c>
      <c r="I377" s="131" t="s">
        <v>6274</v>
      </c>
      <c r="J377" s="398">
        <v>884</v>
      </c>
      <c r="K377" s="73" t="s">
        <v>6779</v>
      </c>
      <c r="L377" s="942">
        <v>1917051.1943999999</v>
      </c>
      <c r="M377" s="914">
        <v>5786101.3399999999</v>
      </c>
      <c r="N377" s="129"/>
      <c r="O377" s="1070">
        <v>1.68</v>
      </c>
      <c r="P377" s="72" t="s">
        <v>194</v>
      </c>
      <c r="Q377" s="129"/>
      <c r="R377" s="129"/>
      <c r="S377" s="129" t="s">
        <v>6140</v>
      </c>
      <c r="T377" s="231" t="s">
        <v>6144</v>
      </c>
      <c r="U377" s="169" t="s">
        <v>10</v>
      </c>
      <c r="V377" s="151" t="s">
        <v>16</v>
      </c>
      <c r="W377" s="151" t="s">
        <v>16</v>
      </c>
      <c r="X377" s="153" t="s">
        <v>194</v>
      </c>
      <c r="Y377" s="153" t="s">
        <v>6148</v>
      </c>
      <c r="Z377" s="152" t="s">
        <v>6169</v>
      </c>
      <c r="AA377" s="153">
        <v>1</v>
      </c>
      <c r="AB377" s="153" t="s">
        <v>6138</v>
      </c>
      <c r="AC377" s="151">
        <v>9</v>
      </c>
      <c r="AD377" s="151">
        <v>8.9</v>
      </c>
      <c r="AE377" s="151">
        <v>9.1</v>
      </c>
      <c r="AF377" s="151"/>
      <c r="AG377" s="151"/>
      <c r="AH377" s="151"/>
      <c r="AI377" s="203" t="s">
        <v>256</v>
      </c>
      <c r="AJ377" s="202"/>
      <c r="AK377" s="202"/>
      <c r="AL377" s="442"/>
      <c r="AM377" s="442"/>
      <c r="AN377" s="203" t="s">
        <v>6084</v>
      </c>
      <c r="AO377" s="203" t="s">
        <v>6285</v>
      </c>
      <c r="AP377" s="152" t="s">
        <v>6121</v>
      </c>
      <c r="AQ377" s="152" t="s">
        <v>37</v>
      </c>
      <c r="AR377" s="170">
        <v>44316</v>
      </c>
      <c r="AS377" s="152" t="s">
        <v>37</v>
      </c>
      <c r="AT377" s="361"/>
      <c r="AU377" s="1112"/>
    </row>
    <row r="378" spans="1:47" s="551" customFormat="1" ht="39" x14ac:dyDescent="0.25">
      <c r="A378" s="488"/>
      <c r="B378" s="131"/>
      <c r="C378" s="75"/>
      <c r="D378" s="568"/>
      <c r="E378" s="568"/>
      <c r="F378" s="75"/>
      <c r="G378" s="75"/>
      <c r="H378" s="118"/>
      <c r="I378" s="131"/>
      <c r="J378" s="521">
        <v>885</v>
      </c>
      <c r="K378" s="76" t="s">
        <v>6780</v>
      </c>
      <c r="L378" s="943">
        <v>1917973.4332999999</v>
      </c>
      <c r="M378" s="915">
        <v>5786344.5687999995</v>
      </c>
      <c r="N378" s="118"/>
      <c r="O378" s="1071">
        <v>1.5722222222222222</v>
      </c>
      <c r="P378" s="75" t="s">
        <v>194</v>
      </c>
      <c r="Q378" s="118"/>
      <c r="R378" s="118"/>
      <c r="S378" s="118" t="s">
        <v>6141</v>
      </c>
      <c r="T378" s="497" t="s">
        <v>6145</v>
      </c>
      <c r="U378" s="138" t="s">
        <v>10</v>
      </c>
      <c r="V378" s="136" t="s">
        <v>16</v>
      </c>
      <c r="W378" s="136" t="s">
        <v>16</v>
      </c>
      <c r="X378" s="132" t="s">
        <v>194</v>
      </c>
      <c r="Y378" s="132" t="s">
        <v>6149</v>
      </c>
      <c r="Z378" s="137" t="s">
        <v>6169</v>
      </c>
      <c r="AA378" s="132">
        <v>1</v>
      </c>
      <c r="AB378" s="132" t="s">
        <v>6138</v>
      </c>
      <c r="AC378" s="136">
        <v>9</v>
      </c>
      <c r="AD378" s="136">
        <v>8.9</v>
      </c>
      <c r="AE378" s="136">
        <v>9.1</v>
      </c>
      <c r="AF378" s="136"/>
      <c r="AG378" s="136"/>
      <c r="AH378" s="136"/>
      <c r="AI378" s="180" t="s">
        <v>256</v>
      </c>
      <c r="AJ378" s="173"/>
      <c r="AK378" s="173"/>
      <c r="AL378" s="350"/>
      <c r="AM378" s="350"/>
      <c r="AN378" s="180" t="s">
        <v>6084</v>
      </c>
      <c r="AO378" s="180" t="s">
        <v>6285</v>
      </c>
      <c r="AP378" s="137" t="s">
        <v>6121</v>
      </c>
      <c r="AQ378" s="137" t="s">
        <v>37</v>
      </c>
      <c r="AR378" s="139">
        <v>44316</v>
      </c>
      <c r="AS378" s="137" t="s">
        <v>37</v>
      </c>
      <c r="AT378" s="358"/>
      <c r="AU378" s="1110"/>
    </row>
    <row r="379" spans="1:47" s="551" customFormat="1" ht="39" x14ac:dyDescent="0.25">
      <c r="A379" s="488"/>
      <c r="B379" s="131"/>
      <c r="C379" s="75"/>
      <c r="D379" s="568"/>
      <c r="E379" s="568"/>
      <c r="F379" s="75"/>
      <c r="G379" s="75"/>
      <c r="H379" s="118"/>
      <c r="I379" s="131"/>
      <c r="J379" s="521">
        <v>886</v>
      </c>
      <c r="K379" s="76" t="s">
        <v>6781</v>
      </c>
      <c r="L379" s="943">
        <v>1918820.3907999999</v>
      </c>
      <c r="M379" s="915">
        <v>5786356.6031999998</v>
      </c>
      <c r="N379" s="118"/>
      <c r="O379" s="1071">
        <v>1.39</v>
      </c>
      <c r="P379" s="75" t="s">
        <v>194</v>
      </c>
      <c r="Q379" s="118"/>
      <c r="R379" s="118"/>
      <c r="S379" s="118" t="s">
        <v>6142</v>
      </c>
      <c r="T379" s="497" t="s">
        <v>6146</v>
      </c>
      <c r="U379" s="138" t="s">
        <v>10</v>
      </c>
      <c r="V379" s="136" t="s">
        <v>16</v>
      </c>
      <c r="W379" s="136" t="s">
        <v>16</v>
      </c>
      <c r="X379" s="132" t="s">
        <v>194</v>
      </c>
      <c r="Y379" s="132" t="s">
        <v>6150</v>
      </c>
      <c r="Z379" s="137" t="s">
        <v>6169</v>
      </c>
      <c r="AA379" s="132">
        <v>1</v>
      </c>
      <c r="AB379" s="132" t="s">
        <v>6138</v>
      </c>
      <c r="AC379" s="136">
        <v>9</v>
      </c>
      <c r="AD379" s="136">
        <v>8.9</v>
      </c>
      <c r="AE379" s="136">
        <v>9.1</v>
      </c>
      <c r="AF379" s="136"/>
      <c r="AG379" s="136"/>
      <c r="AH379" s="136"/>
      <c r="AI379" s="180" t="s">
        <v>256</v>
      </c>
      <c r="AJ379" s="173"/>
      <c r="AK379" s="173"/>
      <c r="AL379" s="350"/>
      <c r="AM379" s="350"/>
      <c r="AN379" s="180" t="s">
        <v>6084</v>
      </c>
      <c r="AO379" s="180" t="s">
        <v>6285</v>
      </c>
      <c r="AP379" s="137" t="s">
        <v>6121</v>
      </c>
      <c r="AQ379" s="137" t="s">
        <v>37</v>
      </c>
      <c r="AR379" s="139">
        <v>44316</v>
      </c>
      <c r="AS379" s="137" t="s">
        <v>37</v>
      </c>
      <c r="AT379" s="358"/>
      <c r="AU379" s="1110"/>
    </row>
    <row r="380" spans="1:47" s="551" customFormat="1" ht="39.75" thickBot="1" x14ac:dyDescent="0.3">
      <c r="A380" s="488"/>
      <c r="B380" s="131"/>
      <c r="C380" s="75"/>
      <c r="D380" s="568"/>
      <c r="E380" s="568"/>
      <c r="F380" s="75"/>
      <c r="G380" s="75"/>
      <c r="H380" s="118"/>
      <c r="I380" s="131"/>
      <c r="J380" s="399">
        <v>887</v>
      </c>
      <c r="K380" s="79" t="s">
        <v>6782</v>
      </c>
      <c r="L380" s="944">
        <v>1917872.4265999999</v>
      </c>
      <c r="M380" s="916">
        <v>5786267.4508999996</v>
      </c>
      <c r="N380" s="119"/>
      <c r="O380" s="1072">
        <v>1.2488888888888889</v>
      </c>
      <c r="P380" s="78" t="s">
        <v>194</v>
      </c>
      <c r="Q380" s="119"/>
      <c r="R380" s="119"/>
      <c r="S380" s="119" t="s">
        <v>6143</v>
      </c>
      <c r="T380" s="232" t="s">
        <v>6147</v>
      </c>
      <c r="U380" s="171" t="s">
        <v>10</v>
      </c>
      <c r="V380" s="154" t="s">
        <v>16</v>
      </c>
      <c r="W380" s="154" t="s">
        <v>16</v>
      </c>
      <c r="X380" s="156" t="s">
        <v>194</v>
      </c>
      <c r="Y380" s="156" t="s">
        <v>6151</v>
      </c>
      <c r="Z380" s="155" t="s">
        <v>6169</v>
      </c>
      <c r="AA380" s="156">
        <v>1</v>
      </c>
      <c r="AB380" s="156" t="s">
        <v>6138</v>
      </c>
      <c r="AC380" s="154">
        <v>9</v>
      </c>
      <c r="AD380" s="154">
        <v>8.9</v>
      </c>
      <c r="AE380" s="154">
        <v>9.1</v>
      </c>
      <c r="AF380" s="154"/>
      <c r="AG380" s="154"/>
      <c r="AH380" s="154"/>
      <c r="AI380" s="183" t="s">
        <v>256</v>
      </c>
      <c r="AJ380" s="201"/>
      <c r="AK380" s="201"/>
      <c r="AL380" s="443"/>
      <c r="AM380" s="443"/>
      <c r="AN380" s="183" t="s">
        <v>6084</v>
      </c>
      <c r="AO380" s="183" t="s">
        <v>6285</v>
      </c>
      <c r="AP380" s="155" t="s">
        <v>6121</v>
      </c>
      <c r="AQ380" s="155" t="s">
        <v>37</v>
      </c>
      <c r="AR380" s="172">
        <v>44316</v>
      </c>
      <c r="AS380" s="155" t="s">
        <v>37</v>
      </c>
      <c r="AT380" s="362"/>
      <c r="AU380" s="1111"/>
    </row>
    <row r="381" spans="1:47" ht="103.5" thickBot="1" x14ac:dyDescent="0.3">
      <c r="A381" s="341" t="s">
        <v>1628</v>
      </c>
      <c r="B381" s="181" t="s">
        <v>1628</v>
      </c>
      <c r="C381" s="125">
        <v>317</v>
      </c>
      <c r="D381" s="585" t="s">
        <v>53</v>
      </c>
      <c r="E381" s="585"/>
      <c r="F381" s="125" t="s">
        <v>1604</v>
      </c>
      <c r="G381" s="126" t="s">
        <v>1974</v>
      </c>
      <c r="H381" s="126" t="s">
        <v>5497</v>
      </c>
      <c r="I381" s="247" t="s">
        <v>150</v>
      </c>
      <c r="J381" s="110">
        <v>1050</v>
      </c>
      <c r="K381" s="396" t="s">
        <v>1627</v>
      </c>
      <c r="L381" s="945">
        <v>1788273.4878</v>
      </c>
      <c r="M381" s="265">
        <v>5487857.4743999997</v>
      </c>
      <c r="N381" s="109"/>
      <c r="O381" s="1073" t="s">
        <v>1626</v>
      </c>
      <c r="P381" s="84" t="s">
        <v>5</v>
      </c>
      <c r="Q381" s="109">
        <v>2</v>
      </c>
      <c r="R381" s="1073" t="s">
        <v>1625</v>
      </c>
      <c r="S381" s="1073"/>
      <c r="T381" s="1095" t="s">
        <v>1624</v>
      </c>
      <c r="U381" s="25" t="s">
        <v>85</v>
      </c>
      <c r="V381" s="25" t="s">
        <v>16</v>
      </c>
      <c r="W381" s="25" t="s">
        <v>85</v>
      </c>
      <c r="X381" s="25" t="s">
        <v>5</v>
      </c>
      <c r="Y381" s="25" t="s">
        <v>1623</v>
      </c>
      <c r="Z381" s="52" t="s">
        <v>1622</v>
      </c>
      <c r="AA381" s="25"/>
      <c r="AB381" s="120" t="s">
        <v>1621</v>
      </c>
      <c r="AC381" s="25"/>
      <c r="AD381" s="25">
        <v>140</v>
      </c>
      <c r="AE381" s="25">
        <v>200</v>
      </c>
      <c r="AF381" s="25"/>
      <c r="AG381" s="386"/>
      <c r="AH381" s="386"/>
      <c r="AI381" s="51" t="s">
        <v>256</v>
      </c>
      <c r="AJ381" s="105" t="s">
        <v>5063</v>
      </c>
      <c r="AK381" s="25"/>
      <c r="AL381" s="386"/>
      <c r="AM381" s="386"/>
      <c r="AN381" s="52" t="s">
        <v>1620</v>
      </c>
      <c r="AO381" s="52" t="s">
        <v>1619</v>
      </c>
      <c r="AP381" s="52" t="s">
        <v>6979</v>
      </c>
      <c r="AQ381" s="52" t="s">
        <v>1380</v>
      </c>
      <c r="AR381" s="53">
        <v>44075</v>
      </c>
      <c r="AS381" s="52" t="s">
        <v>1380</v>
      </c>
      <c r="AT381" s="53">
        <v>44075</v>
      </c>
      <c r="AU381" s="653" t="s">
        <v>37</v>
      </c>
    </row>
    <row r="382" spans="1:47" ht="103.5" thickBot="1" x14ac:dyDescent="0.3">
      <c r="A382" s="339"/>
      <c r="B382" s="116"/>
      <c r="C382" s="95"/>
      <c r="D382" s="567"/>
      <c r="E382" s="567"/>
      <c r="F382" s="95"/>
      <c r="G382" s="95"/>
      <c r="H382" s="108"/>
      <c r="I382" s="122"/>
      <c r="J382" s="95">
        <v>1051</v>
      </c>
      <c r="K382" s="356" t="s">
        <v>1618</v>
      </c>
      <c r="L382" s="946">
        <v>1793932.1078999999</v>
      </c>
      <c r="M382" s="938">
        <v>5493740.9151999997</v>
      </c>
      <c r="N382" s="276"/>
      <c r="O382" s="276" t="s">
        <v>1617</v>
      </c>
      <c r="P382" s="277" t="s">
        <v>5</v>
      </c>
      <c r="Q382" s="276" t="s">
        <v>1616</v>
      </c>
      <c r="R382" s="276"/>
      <c r="S382" s="276"/>
      <c r="T382" s="276" t="s">
        <v>1615</v>
      </c>
      <c r="U382" s="85" t="s">
        <v>16</v>
      </c>
      <c r="V382" s="86" t="s">
        <v>16</v>
      </c>
      <c r="W382" s="86" t="s">
        <v>16</v>
      </c>
      <c r="X382" s="197" t="s">
        <v>61</v>
      </c>
      <c r="Y382" s="329" t="s">
        <v>1614</v>
      </c>
      <c r="Z382" s="92" t="s">
        <v>58</v>
      </c>
      <c r="AA382" s="86"/>
      <c r="AB382" s="106" t="s">
        <v>1609</v>
      </c>
      <c r="AC382" s="86">
        <v>15</v>
      </c>
      <c r="AD382" s="86">
        <v>10</v>
      </c>
      <c r="AE382" s="86">
        <v>15</v>
      </c>
      <c r="AF382" s="86"/>
      <c r="AG382" s="387"/>
      <c r="AH382" s="387"/>
      <c r="AI382" s="94" t="s">
        <v>256</v>
      </c>
      <c r="AJ382" s="106"/>
      <c r="AK382" s="86"/>
      <c r="AL382" s="387"/>
      <c r="AM382" s="387"/>
      <c r="AN382" s="92" t="s">
        <v>1613</v>
      </c>
      <c r="AO382" s="92" t="s">
        <v>1612</v>
      </c>
      <c r="AP382" s="92" t="s">
        <v>6979</v>
      </c>
      <c r="AQ382" s="92" t="s">
        <v>1380</v>
      </c>
      <c r="AR382" s="93">
        <v>44075</v>
      </c>
      <c r="AS382" s="92" t="s">
        <v>1380</v>
      </c>
      <c r="AT382" s="93">
        <v>44075</v>
      </c>
      <c r="AU382" s="1108" t="s">
        <v>37</v>
      </c>
    </row>
    <row r="383" spans="1:47" ht="65.25" thickBot="1" x14ac:dyDescent="0.3">
      <c r="A383" s="339"/>
      <c r="B383" s="116"/>
      <c r="C383" s="95"/>
      <c r="D383" s="567"/>
      <c r="E383" s="567"/>
      <c r="F383" s="95"/>
      <c r="G383" s="95"/>
      <c r="H383" s="108"/>
      <c r="I383" s="122"/>
      <c r="J383" s="84">
        <v>1052</v>
      </c>
      <c r="K383" s="396" t="s">
        <v>1611</v>
      </c>
      <c r="L383" s="945">
        <v>1795645.301</v>
      </c>
      <c r="M383" s="265">
        <v>5495217.3831000002</v>
      </c>
      <c r="N383" s="109"/>
      <c r="O383" s="1073" t="s">
        <v>1463</v>
      </c>
      <c r="P383" s="84" t="s">
        <v>5</v>
      </c>
      <c r="Q383" s="109"/>
      <c r="R383" s="109"/>
      <c r="S383" s="109"/>
      <c r="T383" s="1073" t="s">
        <v>5064</v>
      </c>
      <c r="U383" s="85" t="s">
        <v>85</v>
      </c>
      <c r="V383" s="86" t="s">
        <v>16</v>
      </c>
      <c r="W383" s="86" t="s">
        <v>85</v>
      </c>
      <c r="X383" s="86" t="s">
        <v>5</v>
      </c>
      <c r="Y383" s="86" t="s">
        <v>1610</v>
      </c>
      <c r="Z383" s="92" t="s">
        <v>58</v>
      </c>
      <c r="AA383" s="86"/>
      <c r="AB383" s="106" t="s">
        <v>1609</v>
      </c>
      <c r="AC383" s="86">
        <v>15</v>
      </c>
      <c r="AD383" s="86">
        <v>10</v>
      </c>
      <c r="AE383" s="86">
        <v>15</v>
      </c>
      <c r="AF383" s="86"/>
      <c r="AG383" s="387"/>
      <c r="AH383" s="387"/>
      <c r="AI383" s="94" t="s">
        <v>256</v>
      </c>
      <c r="AJ383" s="106"/>
      <c r="AK383" s="86"/>
      <c r="AL383" s="387"/>
      <c r="AM383" s="387"/>
      <c r="AN383" s="92" t="s">
        <v>1608</v>
      </c>
      <c r="AO383" s="92" t="s">
        <v>1607</v>
      </c>
      <c r="AP383" s="92" t="s">
        <v>6979</v>
      </c>
      <c r="AQ383" s="92" t="s">
        <v>1380</v>
      </c>
      <c r="AR383" s="93">
        <v>44075</v>
      </c>
      <c r="AS383" s="92" t="s">
        <v>1380</v>
      </c>
      <c r="AT383" s="93">
        <v>44075</v>
      </c>
      <c r="AU383" s="1108" t="s">
        <v>37</v>
      </c>
    </row>
    <row r="384" spans="1:47" ht="52.5" thickBot="1" x14ac:dyDescent="0.3">
      <c r="A384" s="487" t="s">
        <v>1851</v>
      </c>
      <c r="B384" s="128" t="s">
        <v>1851</v>
      </c>
      <c r="C384" s="72">
        <v>30</v>
      </c>
      <c r="D384" s="586" t="s">
        <v>57</v>
      </c>
      <c r="E384" s="586"/>
      <c r="F384" s="72" t="s">
        <v>155</v>
      </c>
      <c r="G384" s="140" t="s">
        <v>1238</v>
      </c>
      <c r="H384" s="129" t="s">
        <v>5642</v>
      </c>
      <c r="I384" s="381" t="s">
        <v>5643</v>
      </c>
      <c r="J384" s="83">
        <v>251</v>
      </c>
      <c r="K384" s="360" t="s">
        <v>1856</v>
      </c>
      <c r="L384" s="198">
        <v>1667636.0414</v>
      </c>
      <c r="M384" s="198">
        <v>5638928.4309999999</v>
      </c>
      <c r="N384" s="199"/>
      <c r="O384" s="199" t="s">
        <v>1863</v>
      </c>
      <c r="P384" s="83" t="s">
        <v>194</v>
      </c>
      <c r="Q384" s="1088"/>
      <c r="R384" s="1088"/>
      <c r="S384" s="1088"/>
      <c r="T384" s="332" t="s">
        <v>1870</v>
      </c>
      <c r="U384" s="86" t="s">
        <v>16</v>
      </c>
      <c r="V384" s="86" t="s">
        <v>16</v>
      </c>
      <c r="W384" s="86" t="s">
        <v>16</v>
      </c>
      <c r="X384" s="86" t="s">
        <v>194</v>
      </c>
      <c r="Y384" s="86" t="s">
        <v>1876</v>
      </c>
      <c r="Z384" s="92" t="s">
        <v>1881</v>
      </c>
      <c r="AA384" s="86">
        <v>1</v>
      </c>
      <c r="AB384" s="86">
        <v>24</v>
      </c>
      <c r="AC384" s="86">
        <v>24</v>
      </c>
      <c r="AD384" s="86"/>
      <c r="AE384" s="86"/>
      <c r="AF384" s="86"/>
      <c r="AG384" s="387"/>
      <c r="AH384" s="387"/>
      <c r="AI384" s="94" t="s">
        <v>256</v>
      </c>
      <c r="AJ384" s="106"/>
      <c r="AK384" s="106"/>
      <c r="AL384" s="387"/>
      <c r="AM384" s="387"/>
      <c r="AN384" s="92" t="s">
        <v>1882</v>
      </c>
      <c r="AO384" s="92" t="s">
        <v>1885</v>
      </c>
      <c r="AP384" s="92" t="s">
        <v>1868</v>
      </c>
      <c r="AQ384" s="92" t="s">
        <v>37</v>
      </c>
      <c r="AR384" s="93">
        <v>44103</v>
      </c>
      <c r="AS384" s="92" t="s">
        <v>37</v>
      </c>
      <c r="AT384" s="368"/>
      <c r="AU384" s="1108"/>
    </row>
    <row r="385" spans="1:47" s="135" customFormat="1" ht="27" thickBot="1" x14ac:dyDescent="0.3">
      <c r="A385" s="489"/>
      <c r="B385" s="133"/>
      <c r="C385" s="78"/>
      <c r="D385" s="569"/>
      <c r="E385" s="569"/>
      <c r="F385" s="78"/>
      <c r="G385" s="144"/>
      <c r="H385" s="119"/>
      <c r="I385" s="429"/>
      <c r="J385" s="83">
        <v>862</v>
      </c>
      <c r="K385" s="360" t="s">
        <v>5554</v>
      </c>
      <c r="L385" s="198">
        <v>1675611.598</v>
      </c>
      <c r="M385" s="198">
        <v>5643911.0547000002</v>
      </c>
      <c r="N385" s="199"/>
      <c r="O385" s="199" t="s">
        <v>5555</v>
      </c>
      <c r="P385" s="199" t="s">
        <v>194</v>
      </c>
      <c r="Q385" s="199"/>
      <c r="R385" s="199"/>
      <c r="S385" s="199"/>
      <c r="T385" s="1096">
        <v>0.8</v>
      </c>
      <c r="U385" s="206" t="s">
        <v>16</v>
      </c>
      <c r="V385" s="204" t="s">
        <v>16</v>
      </c>
      <c r="W385" s="204" t="s">
        <v>16</v>
      </c>
      <c r="X385" s="176" t="s">
        <v>194</v>
      </c>
      <c r="Y385" s="176">
        <v>5</v>
      </c>
      <c r="Z385" s="208" t="s">
        <v>1881</v>
      </c>
      <c r="AA385" s="176">
        <v>1</v>
      </c>
      <c r="AB385" s="176">
        <v>6.5</v>
      </c>
      <c r="AC385" s="204"/>
      <c r="AD385" s="204"/>
      <c r="AE385" s="204"/>
      <c r="AF385" s="204"/>
      <c r="AG385" s="204"/>
      <c r="AH385" s="204"/>
      <c r="AI385" s="207" t="s">
        <v>256</v>
      </c>
      <c r="AJ385" s="205"/>
      <c r="AK385" s="205"/>
      <c r="AL385" s="353"/>
      <c r="AM385" s="353"/>
      <c r="AN385" s="94" t="s">
        <v>5558</v>
      </c>
      <c r="AO385" s="94" t="s">
        <v>5556</v>
      </c>
      <c r="AP385" s="208" t="s">
        <v>5557</v>
      </c>
      <c r="AQ385" s="208" t="s">
        <v>37</v>
      </c>
      <c r="AR385" s="209">
        <v>44258</v>
      </c>
      <c r="AS385" s="208" t="s">
        <v>37</v>
      </c>
      <c r="AT385" s="364"/>
      <c r="AU385" s="1109"/>
    </row>
    <row r="386" spans="1:47" s="135" customFormat="1" ht="65.25" thickBot="1" x14ac:dyDescent="0.3">
      <c r="A386" s="116" t="s">
        <v>1061</v>
      </c>
      <c r="B386" s="116" t="s">
        <v>1061</v>
      </c>
      <c r="C386" s="95">
        <v>250</v>
      </c>
      <c r="D386" s="567" t="s">
        <v>57</v>
      </c>
      <c r="E386" s="567"/>
      <c r="F386" s="95" t="s">
        <v>4679</v>
      </c>
      <c r="G386" s="146" t="s">
        <v>1238</v>
      </c>
      <c r="H386" s="108" t="s">
        <v>6117</v>
      </c>
      <c r="I386" s="116" t="s">
        <v>5879</v>
      </c>
      <c r="J386" s="89">
        <v>192</v>
      </c>
      <c r="K386" s="396" t="s">
        <v>1062</v>
      </c>
      <c r="L386" s="265">
        <v>1801169.3045000001</v>
      </c>
      <c r="M386" s="265">
        <v>5639044.5022999998</v>
      </c>
      <c r="N386" s="109"/>
      <c r="O386" s="109" t="s">
        <v>1063</v>
      </c>
      <c r="P386" s="109" t="s">
        <v>193</v>
      </c>
      <c r="Q386" s="109"/>
      <c r="R386" s="109"/>
      <c r="S386" s="109"/>
      <c r="T386" s="343" t="s">
        <v>2262</v>
      </c>
      <c r="U386" s="206" t="s">
        <v>16</v>
      </c>
      <c r="V386" s="204" t="s">
        <v>16</v>
      </c>
      <c r="W386" s="204" t="s">
        <v>16</v>
      </c>
      <c r="X386" s="176" t="s">
        <v>194</v>
      </c>
      <c r="Y386" s="176" t="s">
        <v>1064</v>
      </c>
      <c r="Z386" s="208" t="s">
        <v>1065</v>
      </c>
      <c r="AA386" s="176">
        <v>1</v>
      </c>
      <c r="AB386" s="176" t="s">
        <v>1066</v>
      </c>
      <c r="AC386" s="204">
        <v>18</v>
      </c>
      <c r="AD386" s="204">
        <v>15</v>
      </c>
      <c r="AE386" s="204">
        <v>21</v>
      </c>
      <c r="AF386" s="204"/>
      <c r="AG386" s="204"/>
      <c r="AH386" s="204"/>
      <c r="AI386" s="207" t="s">
        <v>256</v>
      </c>
      <c r="AJ386" s="205"/>
      <c r="AK386" s="205"/>
      <c r="AL386" s="353"/>
      <c r="AM386" s="353"/>
      <c r="AN386" s="94" t="s">
        <v>1182</v>
      </c>
      <c r="AO386" s="94" t="s">
        <v>1067</v>
      </c>
      <c r="AP386" s="208" t="s">
        <v>1068</v>
      </c>
      <c r="AQ386" s="208" t="s">
        <v>37</v>
      </c>
      <c r="AR386" s="209">
        <v>44085</v>
      </c>
      <c r="AS386" s="208" t="s">
        <v>37</v>
      </c>
      <c r="AT386" s="364"/>
      <c r="AU386" s="1109"/>
    </row>
    <row r="387" spans="1:47" s="551" customFormat="1" ht="39.75" thickBot="1" x14ac:dyDescent="0.3">
      <c r="A387" s="116"/>
      <c r="B387" s="116"/>
      <c r="C387" s="95"/>
      <c r="D387" s="567"/>
      <c r="E387" s="567"/>
      <c r="F387" s="95"/>
      <c r="G387" s="146"/>
      <c r="H387" s="108"/>
      <c r="I387" s="116"/>
      <c r="J387" s="89">
        <v>875</v>
      </c>
      <c r="K387" s="396" t="s">
        <v>6116</v>
      </c>
      <c r="L387" s="265">
        <v>1801561.0086000001</v>
      </c>
      <c r="M387" s="265">
        <v>5638751.5336999996</v>
      </c>
      <c r="N387" s="109"/>
      <c r="O387" s="109" t="s">
        <v>6117</v>
      </c>
      <c r="P387" s="109" t="s">
        <v>193</v>
      </c>
      <c r="Q387" s="109"/>
      <c r="R387" s="109"/>
      <c r="S387" s="109"/>
      <c r="T387" s="343" t="s">
        <v>6117</v>
      </c>
      <c r="U387" s="206" t="s">
        <v>10</v>
      </c>
      <c r="V387" s="204" t="s">
        <v>16</v>
      </c>
      <c r="W387" s="204" t="s">
        <v>16</v>
      </c>
      <c r="X387" s="176" t="s">
        <v>194</v>
      </c>
      <c r="Y387" s="176" t="s">
        <v>6118</v>
      </c>
      <c r="Z387" s="208" t="s">
        <v>6119</v>
      </c>
      <c r="AA387" s="176">
        <v>1</v>
      </c>
      <c r="AB387" s="176" t="s">
        <v>6120</v>
      </c>
      <c r="AC387" s="204">
        <v>59.5</v>
      </c>
      <c r="AD387" s="204">
        <f>59.5-14.5</f>
        <v>45</v>
      </c>
      <c r="AE387" s="204">
        <f>59.5+14.5</f>
        <v>74</v>
      </c>
      <c r="AF387" s="204"/>
      <c r="AG387" s="204"/>
      <c r="AH387" s="204"/>
      <c r="AI387" s="207" t="s">
        <v>256</v>
      </c>
      <c r="AJ387" s="205"/>
      <c r="AK387" s="205"/>
      <c r="AL387" s="353"/>
      <c r="AM387" s="353"/>
      <c r="AN387" s="207" t="s">
        <v>6084</v>
      </c>
      <c r="AO387" s="207" t="s">
        <v>6294</v>
      </c>
      <c r="AP387" s="208" t="s">
        <v>6121</v>
      </c>
      <c r="AQ387" s="208" t="s">
        <v>37</v>
      </c>
      <c r="AR387" s="209">
        <v>44316</v>
      </c>
      <c r="AS387" s="208" t="s">
        <v>37</v>
      </c>
      <c r="AT387" s="364"/>
      <c r="AU387" s="1109"/>
    </row>
    <row r="388" spans="1:47" ht="64.5" x14ac:dyDescent="0.25">
      <c r="A388" s="487" t="s">
        <v>1641</v>
      </c>
      <c r="B388" s="128" t="s">
        <v>1641</v>
      </c>
      <c r="C388" s="72">
        <v>323</v>
      </c>
      <c r="D388" s="586" t="s">
        <v>53</v>
      </c>
      <c r="E388" s="586"/>
      <c r="F388" s="72" t="s">
        <v>1604</v>
      </c>
      <c r="G388" s="72" t="s">
        <v>1974</v>
      </c>
      <c r="H388" s="129" t="s">
        <v>2242</v>
      </c>
      <c r="I388" s="381" t="s">
        <v>150</v>
      </c>
      <c r="J388" s="72">
        <v>1045</v>
      </c>
      <c r="K388" s="73" t="s">
        <v>1673</v>
      </c>
      <c r="L388" s="942">
        <v>1764747.5422</v>
      </c>
      <c r="M388" s="914">
        <v>5458217.7222999996</v>
      </c>
      <c r="N388" s="129"/>
      <c r="O388" s="129" t="s">
        <v>1672</v>
      </c>
      <c r="P388" s="72" t="s">
        <v>5</v>
      </c>
      <c r="Q388" s="129"/>
      <c r="R388" s="129" t="s">
        <v>1671</v>
      </c>
      <c r="S388" s="129"/>
      <c r="T388" s="266" t="s">
        <v>1670</v>
      </c>
      <c r="U388" s="31" t="s">
        <v>16</v>
      </c>
      <c r="V388" s="31" t="s">
        <v>16</v>
      </c>
      <c r="W388" s="31" t="s">
        <v>16</v>
      </c>
      <c r="X388" s="31" t="s">
        <v>5</v>
      </c>
      <c r="Y388" s="31" t="s">
        <v>1669</v>
      </c>
      <c r="Z388" s="40" t="s">
        <v>1668</v>
      </c>
      <c r="AA388" s="31"/>
      <c r="AB388" s="97" t="s">
        <v>1667</v>
      </c>
      <c r="AC388" s="31" t="s">
        <v>1666</v>
      </c>
      <c r="AD388" s="31">
        <v>37.709000000000003</v>
      </c>
      <c r="AE388" s="31">
        <v>41.929000000000002</v>
      </c>
      <c r="AF388" s="31"/>
      <c r="AG388" s="372"/>
      <c r="AH388" s="372"/>
      <c r="AI388" s="30" t="s">
        <v>549</v>
      </c>
      <c r="AJ388" s="130" t="s">
        <v>13</v>
      </c>
      <c r="AK388" s="31"/>
      <c r="AL388" s="372"/>
      <c r="AM388" s="372"/>
      <c r="AN388" s="40" t="s">
        <v>1665</v>
      </c>
      <c r="AO388" s="40" t="s">
        <v>1664</v>
      </c>
      <c r="AP388" s="40" t="s">
        <v>1634</v>
      </c>
      <c r="AQ388" s="40" t="s">
        <v>1380</v>
      </c>
      <c r="AR388" s="41">
        <v>44076</v>
      </c>
      <c r="AS388" s="40" t="s">
        <v>1380</v>
      </c>
      <c r="AT388" s="41">
        <v>44076</v>
      </c>
      <c r="AU388" s="652" t="s">
        <v>37</v>
      </c>
    </row>
    <row r="389" spans="1:47" ht="77.25" x14ac:dyDescent="0.25">
      <c r="A389" s="488"/>
      <c r="B389" s="131"/>
      <c r="C389" s="75"/>
      <c r="D389" s="568"/>
      <c r="E389" s="568"/>
      <c r="F389" s="75"/>
      <c r="G389" s="75"/>
      <c r="H389" s="118"/>
      <c r="I389" s="121"/>
      <c r="J389" s="75">
        <v>1101</v>
      </c>
      <c r="K389" s="76" t="s">
        <v>1663</v>
      </c>
      <c r="L389" s="915">
        <v>1764740.4565999999</v>
      </c>
      <c r="M389" s="915">
        <v>5458203.5510999998</v>
      </c>
      <c r="N389" s="118"/>
      <c r="O389" s="118" t="s">
        <v>1662</v>
      </c>
      <c r="P389" s="75" t="s">
        <v>5</v>
      </c>
      <c r="Q389" s="118"/>
      <c r="R389" s="118">
        <v>1.5</v>
      </c>
      <c r="S389" s="118"/>
      <c r="T389" s="601" t="s">
        <v>1662</v>
      </c>
      <c r="U389" s="24" t="s">
        <v>1481</v>
      </c>
      <c r="V389" s="2" t="s">
        <v>1481</v>
      </c>
      <c r="W389" s="2" t="s">
        <v>1481</v>
      </c>
      <c r="X389" s="2" t="s">
        <v>5</v>
      </c>
      <c r="Y389" s="2" t="s">
        <v>1661</v>
      </c>
      <c r="Z389" s="3" t="s">
        <v>1660</v>
      </c>
      <c r="AB389" s="2" t="s">
        <v>1644</v>
      </c>
      <c r="AD389" s="2">
        <v>10</v>
      </c>
      <c r="AI389" s="16" t="s">
        <v>256</v>
      </c>
      <c r="AK389" s="2"/>
      <c r="AN389" s="3" t="s">
        <v>1659</v>
      </c>
      <c r="AO389" s="3" t="s">
        <v>6980</v>
      </c>
      <c r="AP389" s="3" t="s">
        <v>1634</v>
      </c>
      <c r="AQ389" s="3" t="s">
        <v>1380</v>
      </c>
      <c r="AR389" s="186">
        <v>44076</v>
      </c>
      <c r="AS389" s="3" t="s">
        <v>1380</v>
      </c>
      <c r="AT389" s="186">
        <v>44076</v>
      </c>
      <c r="AU389" s="1107" t="s">
        <v>37</v>
      </c>
    </row>
    <row r="390" spans="1:47" ht="90.75" thickBot="1" x14ac:dyDescent="0.3">
      <c r="A390" s="488"/>
      <c r="B390" s="131"/>
      <c r="C390" s="75"/>
      <c r="D390" s="568"/>
      <c r="E390" s="568"/>
      <c r="F390" s="75"/>
      <c r="G390" s="75"/>
      <c r="H390" s="118"/>
      <c r="I390" s="121"/>
      <c r="J390" s="75">
        <v>1102</v>
      </c>
      <c r="K390" s="76" t="s">
        <v>1658</v>
      </c>
      <c r="L390" s="915">
        <v>1764739.622</v>
      </c>
      <c r="M390" s="915">
        <v>5458195.6339999996</v>
      </c>
      <c r="N390" s="118"/>
      <c r="O390" s="118" t="s">
        <v>1657</v>
      </c>
      <c r="P390" s="75" t="s">
        <v>5</v>
      </c>
      <c r="Q390" s="118"/>
      <c r="R390" s="118">
        <v>2.2999999999999998</v>
      </c>
      <c r="S390" s="118"/>
      <c r="T390" s="601" t="s">
        <v>1657</v>
      </c>
      <c r="U390" s="25" t="s">
        <v>85</v>
      </c>
      <c r="V390" s="25" t="s">
        <v>16</v>
      </c>
      <c r="W390" s="25" t="s">
        <v>85</v>
      </c>
      <c r="X390" s="25" t="s">
        <v>5</v>
      </c>
      <c r="Y390" s="25" t="s">
        <v>1656</v>
      </c>
      <c r="Z390" s="52" t="s">
        <v>24</v>
      </c>
      <c r="AA390" s="25"/>
      <c r="AB390" s="25">
        <v>6.9</v>
      </c>
      <c r="AC390" s="25"/>
      <c r="AD390" s="25"/>
      <c r="AE390" s="25"/>
      <c r="AF390" s="25"/>
      <c r="AG390" s="386"/>
      <c r="AH390" s="386"/>
      <c r="AI390" s="51" t="s">
        <v>549</v>
      </c>
      <c r="AJ390" s="105" t="s">
        <v>66</v>
      </c>
      <c r="AK390" s="25"/>
      <c r="AL390" s="386"/>
      <c r="AM390" s="386"/>
      <c r="AN390" s="52" t="s">
        <v>1655</v>
      </c>
      <c r="AO390" s="52" t="s">
        <v>1654</v>
      </c>
      <c r="AP390" s="52" t="s">
        <v>1634</v>
      </c>
      <c r="AQ390" s="52" t="s">
        <v>1380</v>
      </c>
      <c r="AR390" s="53">
        <v>44076</v>
      </c>
      <c r="AS390" s="52" t="s">
        <v>1380</v>
      </c>
      <c r="AT390" s="53">
        <v>44076</v>
      </c>
      <c r="AU390" s="653" t="s">
        <v>37</v>
      </c>
    </row>
    <row r="391" spans="1:47" ht="65.25" thickBot="1" x14ac:dyDescent="0.3">
      <c r="A391" s="488"/>
      <c r="B391" s="131"/>
      <c r="C391" s="75"/>
      <c r="D391" s="568"/>
      <c r="E391" s="568"/>
      <c r="F391" s="75"/>
      <c r="G391" s="75"/>
      <c r="H391" s="118"/>
      <c r="I391" s="121"/>
      <c r="J391" s="83">
        <v>1047</v>
      </c>
      <c r="K391" s="360" t="s">
        <v>1653</v>
      </c>
      <c r="L391" s="947">
        <v>1759832.3648999999</v>
      </c>
      <c r="M391" s="198">
        <v>5450808.5990000004</v>
      </c>
      <c r="N391" s="199"/>
      <c r="O391" s="199" t="s">
        <v>1652</v>
      </c>
      <c r="P391" s="199" t="s">
        <v>61</v>
      </c>
      <c r="Q391" s="199" t="s">
        <v>1651</v>
      </c>
      <c r="R391" s="199"/>
      <c r="S391" s="199"/>
      <c r="T391" s="332" t="s">
        <v>1475</v>
      </c>
      <c r="U391" s="86" t="s">
        <v>16</v>
      </c>
      <c r="V391" s="86" t="s">
        <v>85</v>
      </c>
      <c r="W391" s="86" t="s">
        <v>16</v>
      </c>
      <c r="X391" s="197" t="s">
        <v>61</v>
      </c>
      <c r="Y391" s="197" t="s">
        <v>1650</v>
      </c>
      <c r="Z391" s="92" t="s">
        <v>1649</v>
      </c>
      <c r="AA391" s="86"/>
      <c r="AB391" s="86" t="s">
        <v>1648</v>
      </c>
      <c r="AC391" s="86"/>
      <c r="AD391" s="86"/>
      <c r="AE391" s="86">
        <v>22.59</v>
      </c>
      <c r="AF391" s="86"/>
      <c r="AG391" s="387"/>
      <c r="AH391" s="387"/>
      <c r="AI391" s="94" t="s">
        <v>256</v>
      </c>
      <c r="AJ391" s="86"/>
      <c r="AK391" s="86"/>
      <c r="AL391" s="387"/>
      <c r="AM391" s="387"/>
      <c r="AN391" s="92" t="s">
        <v>1647</v>
      </c>
      <c r="AO391" s="92" t="s">
        <v>1646</v>
      </c>
      <c r="AP391" s="92" t="s">
        <v>1634</v>
      </c>
      <c r="AQ391" s="92" t="s">
        <v>1380</v>
      </c>
      <c r="AR391" s="93">
        <v>44076</v>
      </c>
      <c r="AS391" s="92" t="s">
        <v>1380</v>
      </c>
      <c r="AT391" s="93">
        <v>44076</v>
      </c>
      <c r="AU391" s="1108" t="s">
        <v>37</v>
      </c>
    </row>
    <row r="392" spans="1:47" ht="65.25" thickBot="1" x14ac:dyDescent="0.3">
      <c r="A392" s="488"/>
      <c r="B392" s="131"/>
      <c r="C392" s="75"/>
      <c r="D392" s="568"/>
      <c r="E392" s="568"/>
      <c r="F392" s="75"/>
      <c r="G392" s="75"/>
      <c r="H392" s="118"/>
      <c r="I392" s="121"/>
      <c r="J392" s="78">
        <v>1049</v>
      </c>
      <c r="K392" s="79" t="s">
        <v>1645</v>
      </c>
      <c r="L392" s="916">
        <v>1768688.5323000001</v>
      </c>
      <c r="M392" s="916">
        <v>5464621.9395000003</v>
      </c>
      <c r="N392" s="119"/>
      <c r="O392" s="119" t="s">
        <v>670</v>
      </c>
      <c r="P392" s="78" t="s">
        <v>5</v>
      </c>
      <c r="Q392" s="119">
        <v>0.7</v>
      </c>
      <c r="R392" s="119"/>
      <c r="S392" s="119"/>
      <c r="T392" s="267" t="s">
        <v>670</v>
      </c>
      <c r="U392" s="25" t="s">
        <v>85</v>
      </c>
      <c r="V392" s="25" t="s">
        <v>85</v>
      </c>
      <c r="W392" s="25" t="s">
        <v>85</v>
      </c>
      <c r="X392" s="25" t="s">
        <v>5</v>
      </c>
      <c r="Y392" s="25">
        <v>7</v>
      </c>
      <c r="Z392" s="52" t="s">
        <v>24</v>
      </c>
      <c r="AA392" s="25"/>
      <c r="AB392" s="25" t="s">
        <v>1644</v>
      </c>
      <c r="AC392" s="25"/>
      <c r="AD392" s="25">
        <v>10</v>
      </c>
      <c r="AE392" s="25"/>
      <c r="AF392" s="25"/>
      <c r="AG392" s="386"/>
      <c r="AH392" s="386"/>
      <c r="AI392" s="51" t="s">
        <v>256</v>
      </c>
      <c r="AJ392" s="25"/>
      <c r="AK392" s="25"/>
      <c r="AL392" s="386"/>
      <c r="AM392" s="386"/>
      <c r="AN392" s="52" t="s">
        <v>1643</v>
      </c>
      <c r="AO392" s="52" t="s">
        <v>1642</v>
      </c>
      <c r="AP392" s="52" t="s">
        <v>1634</v>
      </c>
      <c r="AQ392" s="52" t="s">
        <v>1380</v>
      </c>
      <c r="AR392" s="53">
        <v>44076</v>
      </c>
      <c r="AS392" s="52" t="s">
        <v>1380</v>
      </c>
      <c r="AT392" s="53">
        <v>44076</v>
      </c>
      <c r="AU392" s="653" t="s">
        <v>37</v>
      </c>
    </row>
    <row r="393" spans="1:47" ht="77.25" x14ac:dyDescent="0.25">
      <c r="A393" s="1038"/>
      <c r="B393" s="571"/>
      <c r="C393" s="67"/>
      <c r="D393" s="580"/>
      <c r="E393" s="580"/>
      <c r="F393" s="67"/>
      <c r="G393" s="67"/>
      <c r="H393" s="312"/>
      <c r="I393" s="1052"/>
      <c r="J393" s="67">
        <v>1044</v>
      </c>
      <c r="K393" s="695" t="s">
        <v>1639</v>
      </c>
      <c r="L393" s="948">
        <v>1750464.0412999999</v>
      </c>
      <c r="M393" s="948">
        <v>5439596.1739999996</v>
      </c>
      <c r="N393" s="312"/>
      <c r="O393" s="312" t="s">
        <v>1638</v>
      </c>
      <c r="P393" s="312" t="s">
        <v>5</v>
      </c>
      <c r="Q393" s="312"/>
      <c r="R393" s="312">
        <v>5</v>
      </c>
      <c r="S393" s="312"/>
      <c r="T393" s="305" t="s">
        <v>1638</v>
      </c>
      <c r="U393" s="31" t="s">
        <v>85</v>
      </c>
      <c r="V393" s="31" t="s">
        <v>85</v>
      </c>
      <c r="W393" s="31" t="s">
        <v>85</v>
      </c>
      <c r="X393" s="97" t="s">
        <v>5</v>
      </c>
      <c r="Y393" s="97">
        <v>225</v>
      </c>
      <c r="Z393" s="40"/>
      <c r="AA393" s="31"/>
      <c r="AB393" s="97" t="s">
        <v>1637</v>
      </c>
      <c r="AC393" s="31"/>
      <c r="AD393" s="97">
        <v>45</v>
      </c>
      <c r="AE393" s="31"/>
      <c r="AF393" s="31"/>
      <c r="AG393" s="372"/>
      <c r="AH393" s="372"/>
      <c r="AI393" s="30" t="s">
        <v>549</v>
      </c>
      <c r="AJ393" s="31"/>
      <c r="AK393" s="31"/>
      <c r="AL393" s="372"/>
      <c r="AM393" s="372"/>
      <c r="AN393" s="40" t="s">
        <v>1636</v>
      </c>
      <c r="AO393" s="40" t="s">
        <v>1635</v>
      </c>
      <c r="AP393" s="40" t="s">
        <v>1634</v>
      </c>
      <c r="AQ393" s="40" t="s">
        <v>1380</v>
      </c>
      <c r="AR393" s="41">
        <v>44076</v>
      </c>
      <c r="AS393" s="40" t="s">
        <v>1380</v>
      </c>
      <c r="AT393" s="41" t="s">
        <v>1629</v>
      </c>
      <c r="AU393" s="652" t="s">
        <v>37</v>
      </c>
    </row>
    <row r="394" spans="1:47" ht="78" thickBot="1" x14ac:dyDescent="0.3">
      <c r="A394" s="1038"/>
      <c r="B394" s="571"/>
      <c r="C394" s="67"/>
      <c r="D394" s="580"/>
      <c r="E394" s="580"/>
      <c r="F394" s="67"/>
      <c r="G394" s="67"/>
      <c r="H394" s="312"/>
      <c r="I394" s="1052"/>
      <c r="J394" s="69">
        <v>1046</v>
      </c>
      <c r="K394" s="70" t="s">
        <v>1633</v>
      </c>
      <c r="L394" s="941">
        <v>1754114.7992</v>
      </c>
      <c r="M394" s="941">
        <v>5444995.2794000003</v>
      </c>
      <c r="N394" s="233"/>
      <c r="O394" s="233" t="s">
        <v>1632</v>
      </c>
      <c r="P394" s="69" t="s">
        <v>5</v>
      </c>
      <c r="Q394" s="233"/>
      <c r="R394" s="233">
        <v>4.5999999999999996</v>
      </c>
      <c r="S394" s="233"/>
      <c r="T394" s="322" t="s">
        <v>1632</v>
      </c>
      <c r="U394" s="25" t="s">
        <v>85</v>
      </c>
      <c r="V394" s="25" t="s">
        <v>85</v>
      </c>
      <c r="W394" s="25" t="s">
        <v>1481</v>
      </c>
      <c r="X394" s="25" t="s">
        <v>5</v>
      </c>
      <c r="Y394" s="25">
        <v>30</v>
      </c>
      <c r="Z394" s="52"/>
      <c r="AA394" s="25"/>
      <c r="AB394" s="25" t="s">
        <v>1631</v>
      </c>
      <c r="AC394" s="25"/>
      <c r="AD394" s="25"/>
      <c r="AE394" s="25">
        <v>6.5</v>
      </c>
      <c r="AF394" s="25"/>
      <c r="AG394" s="386"/>
      <c r="AH394" s="386"/>
      <c r="AI394" s="51" t="s">
        <v>256</v>
      </c>
      <c r="AJ394" s="25"/>
      <c r="AK394" s="25"/>
      <c r="AL394" s="386"/>
      <c r="AM394" s="386"/>
      <c r="AN394" s="52" t="s">
        <v>6938</v>
      </c>
      <c r="AO394" s="52" t="s">
        <v>1630</v>
      </c>
      <c r="AP394" s="52" t="s">
        <v>6981</v>
      </c>
      <c r="AQ394" s="52" t="s">
        <v>1380</v>
      </c>
      <c r="AR394" s="53">
        <v>44082</v>
      </c>
      <c r="AS394" s="52" t="s">
        <v>1380</v>
      </c>
      <c r="AT394" s="53" t="s">
        <v>1629</v>
      </c>
      <c r="AU394" s="653" t="s">
        <v>37</v>
      </c>
    </row>
    <row r="395" spans="1:47" s="135" customFormat="1" ht="39.75" thickBot="1" x14ac:dyDescent="0.3">
      <c r="A395" s="489"/>
      <c r="B395" s="133"/>
      <c r="C395" s="78"/>
      <c r="D395" s="569"/>
      <c r="E395" s="569"/>
      <c r="F395" s="78"/>
      <c r="G395" s="144"/>
      <c r="H395" s="119"/>
      <c r="I395" s="429"/>
      <c r="J395" s="83" t="s">
        <v>2156</v>
      </c>
      <c r="K395" s="360" t="s">
        <v>7698</v>
      </c>
      <c r="L395" s="198" t="s">
        <v>2156</v>
      </c>
      <c r="M395" s="198" t="s">
        <v>2156</v>
      </c>
      <c r="N395" s="199"/>
      <c r="O395" s="495" t="s">
        <v>5065</v>
      </c>
      <c r="P395" s="199" t="s">
        <v>61</v>
      </c>
      <c r="Q395" s="199" t="s">
        <v>5066</v>
      </c>
      <c r="R395" s="199"/>
      <c r="S395" s="199"/>
      <c r="T395" s="332"/>
      <c r="U395" s="85"/>
      <c r="V395" s="86"/>
      <c r="W395" s="86"/>
      <c r="X395" s="86"/>
      <c r="Y395" s="86"/>
      <c r="Z395" s="92"/>
      <c r="AA395" s="86"/>
      <c r="AB395" s="86"/>
      <c r="AC395" s="86"/>
      <c r="AD395" s="86"/>
      <c r="AE395" s="86"/>
      <c r="AF395" s="86"/>
      <c r="AG395" s="387"/>
      <c r="AH395" s="387"/>
      <c r="AI395" s="94"/>
      <c r="AJ395" s="86"/>
      <c r="AK395" s="86"/>
      <c r="AL395" s="387"/>
      <c r="AM395" s="387"/>
      <c r="AN395" s="92" t="s">
        <v>5067</v>
      </c>
      <c r="AO395" s="92"/>
      <c r="AP395" s="92" t="s">
        <v>1634</v>
      </c>
      <c r="AQ395" s="92" t="s">
        <v>1380</v>
      </c>
      <c r="AR395" s="93">
        <v>44076</v>
      </c>
      <c r="AS395" s="92" t="s">
        <v>1380</v>
      </c>
      <c r="AT395" s="93"/>
      <c r="AU395" s="1108"/>
    </row>
    <row r="396" spans="1:47" s="551" customFormat="1" ht="39.75" thickBot="1" x14ac:dyDescent="0.3">
      <c r="A396" s="336" t="s">
        <v>6784</v>
      </c>
      <c r="B396" s="196" t="s">
        <v>6784</v>
      </c>
      <c r="C396" s="96">
        <v>191</v>
      </c>
      <c r="D396" s="566" t="s">
        <v>57</v>
      </c>
      <c r="E396" s="566"/>
      <c r="F396" s="96" t="s">
        <v>4679</v>
      </c>
      <c r="G396" s="147" t="s">
        <v>1238</v>
      </c>
      <c r="H396" s="107" t="s">
        <v>6785</v>
      </c>
      <c r="I396" s="123" t="s">
        <v>5879</v>
      </c>
      <c r="J396" s="84">
        <v>960</v>
      </c>
      <c r="K396" s="396" t="s">
        <v>6786</v>
      </c>
      <c r="L396" s="265">
        <v>1926273.3052999999</v>
      </c>
      <c r="M396" s="265">
        <v>5786041.3530999999</v>
      </c>
      <c r="N396" s="109"/>
      <c r="O396" s="696">
        <v>0.21</v>
      </c>
      <c r="P396" s="109" t="s">
        <v>194</v>
      </c>
      <c r="Q396" s="109"/>
      <c r="R396" s="109"/>
      <c r="S396" s="109"/>
      <c r="T396" s="343" t="s">
        <v>6785</v>
      </c>
      <c r="U396" s="85" t="s">
        <v>10</v>
      </c>
      <c r="V396" s="86" t="s">
        <v>16</v>
      </c>
      <c r="W396" s="86" t="s">
        <v>16</v>
      </c>
      <c r="X396" s="86" t="s">
        <v>194</v>
      </c>
      <c r="Y396" s="86" t="s">
        <v>6787</v>
      </c>
      <c r="Z396" s="92" t="s">
        <v>289</v>
      </c>
      <c r="AA396" s="86">
        <v>1</v>
      </c>
      <c r="AB396" s="86" t="s">
        <v>6788</v>
      </c>
      <c r="AC396" s="86">
        <v>8.01</v>
      </c>
      <c r="AD396" s="86">
        <f>8.01-0.05</f>
        <v>7.96</v>
      </c>
      <c r="AE396" s="86">
        <f>8.01+0.05</f>
        <v>8.06</v>
      </c>
      <c r="AF396" s="86"/>
      <c r="AG396" s="387"/>
      <c r="AH396" s="387"/>
      <c r="AI396" s="94" t="s">
        <v>256</v>
      </c>
      <c r="AJ396" s="86"/>
      <c r="AK396" s="86"/>
      <c r="AL396" s="387"/>
      <c r="AM396" s="387"/>
      <c r="AN396" s="203" t="s">
        <v>6084</v>
      </c>
      <c r="AO396" s="203" t="s">
        <v>6789</v>
      </c>
      <c r="AP396" s="152" t="s">
        <v>6121</v>
      </c>
      <c r="AQ396" s="152" t="s">
        <v>37</v>
      </c>
      <c r="AR396" s="170">
        <v>44335</v>
      </c>
      <c r="AS396" s="152" t="s">
        <v>37</v>
      </c>
      <c r="AT396" s="93"/>
      <c r="AU396" s="1108"/>
    </row>
    <row r="397" spans="1:47" s="135" customFormat="1" ht="65.25" thickBot="1" x14ac:dyDescent="0.3">
      <c r="A397" s="345" t="s">
        <v>1372</v>
      </c>
      <c r="B397" s="331" t="s">
        <v>1372</v>
      </c>
      <c r="C397" s="83">
        <v>258</v>
      </c>
      <c r="D397" s="588" t="s">
        <v>57</v>
      </c>
      <c r="E397" s="588"/>
      <c r="F397" s="83" t="s">
        <v>668</v>
      </c>
      <c r="G397" s="268" t="s">
        <v>1238</v>
      </c>
      <c r="H397" s="199" t="s">
        <v>5498</v>
      </c>
      <c r="I397" s="395" t="s">
        <v>5499</v>
      </c>
      <c r="J397" s="87">
        <v>249</v>
      </c>
      <c r="K397" s="360" t="s">
        <v>1373</v>
      </c>
      <c r="L397" s="198">
        <v>1798059.9985</v>
      </c>
      <c r="M397" s="198">
        <v>5625476.7394000003</v>
      </c>
      <c r="N397" s="199"/>
      <c r="O397" s="199" t="s">
        <v>1374</v>
      </c>
      <c r="P397" s="199" t="s">
        <v>193</v>
      </c>
      <c r="Q397" s="199"/>
      <c r="R397" s="199"/>
      <c r="S397" s="199"/>
      <c r="T397" s="332" t="s">
        <v>1210</v>
      </c>
      <c r="U397" s="206" t="s">
        <v>85</v>
      </c>
      <c r="V397" s="204" t="s">
        <v>16</v>
      </c>
      <c r="W397" s="204" t="s">
        <v>16</v>
      </c>
      <c r="X397" s="176" t="s">
        <v>194</v>
      </c>
      <c r="Y397" s="176" t="s">
        <v>1375</v>
      </c>
      <c r="Z397" s="208" t="s">
        <v>1376</v>
      </c>
      <c r="AA397" s="176">
        <v>1</v>
      </c>
      <c r="AB397" s="176" t="s">
        <v>1377</v>
      </c>
      <c r="AC397" s="204">
        <v>32</v>
      </c>
      <c r="AD397" s="204">
        <v>26</v>
      </c>
      <c r="AE397" s="204">
        <v>38</v>
      </c>
      <c r="AF397" s="204"/>
      <c r="AG397" s="204"/>
      <c r="AH397" s="204"/>
      <c r="AI397" s="207" t="s">
        <v>256</v>
      </c>
      <c r="AJ397" s="205"/>
      <c r="AK397" s="205"/>
      <c r="AL397" s="353"/>
      <c r="AM397" s="353"/>
      <c r="AN397" s="94" t="s">
        <v>1378</v>
      </c>
      <c r="AO397" s="94" t="s">
        <v>1379</v>
      </c>
      <c r="AP397" s="208" t="s">
        <v>1068</v>
      </c>
      <c r="AQ397" s="208" t="s">
        <v>37</v>
      </c>
      <c r="AR397" s="209">
        <v>44097</v>
      </c>
      <c r="AS397" s="208" t="s">
        <v>37</v>
      </c>
      <c r="AT397" s="364"/>
      <c r="AU397" s="1109"/>
    </row>
    <row r="398" spans="1:47" ht="52.5" thickBot="1" x14ac:dyDescent="0.3">
      <c r="A398" s="341" t="s">
        <v>5215</v>
      </c>
      <c r="B398" s="181" t="s">
        <v>5644</v>
      </c>
      <c r="C398" s="125">
        <v>309</v>
      </c>
      <c r="D398" s="585" t="s">
        <v>53</v>
      </c>
      <c r="E398" s="585" t="s">
        <v>52</v>
      </c>
      <c r="F398" s="125" t="s">
        <v>2083</v>
      </c>
      <c r="G398" s="125" t="s">
        <v>1972</v>
      </c>
      <c r="H398" s="126" t="s">
        <v>5064</v>
      </c>
      <c r="I398" s="247" t="s">
        <v>5585</v>
      </c>
      <c r="J398" s="531">
        <v>2433</v>
      </c>
      <c r="K398" s="396" t="s">
        <v>5216</v>
      </c>
      <c r="L398" s="908">
        <v>1887528.9428000001</v>
      </c>
      <c r="M398" s="908">
        <v>5558686.9160000002</v>
      </c>
      <c r="N398" s="109">
        <v>40</v>
      </c>
      <c r="O398" s="109" t="s">
        <v>5217</v>
      </c>
      <c r="P398" s="109" t="s">
        <v>5</v>
      </c>
      <c r="Q398" s="296"/>
      <c r="R398" s="296"/>
      <c r="S398" s="296"/>
      <c r="T398" s="295" t="s">
        <v>5779</v>
      </c>
      <c r="U398" s="294" t="s">
        <v>16</v>
      </c>
      <c r="V398" s="197" t="s">
        <v>85</v>
      </c>
      <c r="W398" s="197" t="s">
        <v>16</v>
      </c>
      <c r="X398" s="197" t="s">
        <v>61</v>
      </c>
      <c r="Y398" s="307" t="s">
        <v>5218</v>
      </c>
      <c r="Z398" s="92" t="s">
        <v>5780</v>
      </c>
      <c r="AA398" s="197">
        <v>2</v>
      </c>
      <c r="AB398" s="307" t="s">
        <v>5156</v>
      </c>
      <c r="AC398" s="197">
        <v>12</v>
      </c>
      <c r="AD398" s="197"/>
      <c r="AE398" s="197"/>
      <c r="AF398" s="197">
        <v>10</v>
      </c>
      <c r="AG398" s="197"/>
      <c r="AH398" s="197"/>
      <c r="AI398" s="94" t="s">
        <v>256</v>
      </c>
      <c r="AJ398" s="197" t="s">
        <v>3459</v>
      </c>
      <c r="AK398" s="197"/>
      <c r="AL398" s="197"/>
      <c r="AM398" s="197"/>
      <c r="AN398" s="94" t="s">
        <v>5781</v>
      </c>
      <c r="AO398" s="292" t="s">
        <v>5157</v>
      </c>
      <c r="AP398" s="92" t="s">
        <v>1462</v>
      </c>
      <c r="AQ398" s="92" t="s">
        <v>3457</v>
      </c>
      <c r="AR398" s="93">
        <v>44243</v>
      </c>
      <c r="AS398" s="92" t="s">
        <v>3457</v>
      </c>
      <c r="AT398" s="291">
        <v>44270</v>
      </c>
      <c r="AU398" s="290" t="s">
        <v>37</v>
      </c>
    </row>
    <row r="399" spans="1:47" ht="39.75" thickBot="1" x14ac:dyDescent="0.3">
      <c r="A399" s="339"/>
      <c r="B399" s="338"/>
      <c r="C399" s="277"/>
      <c r="D399" s="565"/>
      <c r="E399" s="565"/>
      <c r="F399" s="277"/>
      <c r="G399" s="277"/>
      <c r="H399" s="276"/>
      <c r="I399" s="122"/>
      <c r="J399" s="531">
        <v>2431</v>
      </c>
      <c r="K399" s="396" t="s">
        <v>5219</v>
      </c>
      <c r="L399" s="908">
        <v>1884306.2075</v>
      </c>
      <c r="M399" s="908">
        <v>5552908.2816000003</v>
      </c>
      <c r="N399" s="109">
        <v>45</v>
      </c>
      <c r="O399" s="109" t="s">
        <v>3468</v>
      </c>
      <c r="P399" s="109" t="s">
        <v>194</v>
      </c>
      <c r="Q399" s="296"/>
      <c r="R399" s="296"/>
      <c r="S399" s="296"/>
      <c r="T399" s="343" t="s">
        <v>1496</v>
      </c>
      <c r="U399" s="294" t="s">
        <v>16</v>
      </c>
      <c r="V399" s="197" t="s">
        <v>85</v>
      </c>
      <c r="W399" s="86" t="s">
        <v>16</v>
      </c>
      <c r="X399" s="197" t="s">
        <v>194</v>
      </c>
      <c r="Y399" s="307" t="s">
        <v>1463</v>
      </c>
      <c r="Z399" s="92" t="s">
        <v>604</v>
      </c>
      <c r="AA399" s="197">
        <v>2</v>
      </c>
      <c r="AB399" s="307" t="s">
        <v>5156</v>
      </c>
      <c r="AC399" s="197">
        <v>12</v>
      </c>
      <c r="AD399" s="197"/>
      <c r="AE399" s="197"/>
      <c r="AF399" s="197">
        <v>10</v>
      </c>
      <c r="AG399" s="197"/>
      <c r="AH399" s="197"/>
      <c r="AI399" s="94" t="s">
        <v>256</v>
      </c>
      <c r="AJ399" s="197" t="s">
        <v>3459</v>
      </c>
      <c r="AK399" s="197"/>
      <c r="AL399" s="197"/>
      <c r="AM399" s="197"/>
      <c r="AN399" s="94" t="s">
        <v>5782</v>
      </c>
      <c r="AO399" s="292" t="s">
        <v>5157</v>
      </c>
      <c r="AP399" s="92" t="s">
        <v>1462</v>
      </c>
      <c r="AQ399" s="92" t="s">
        <v>3457</v>
      </c>
      <c r="AR399" s="93">
        <v>44243</v>
      </c>
      <c r="AS399" s="92" t="s">
        <v>3457</v>
      </c>
      <c r="AT399" s="291">
        <v>44270</v>
      </c>
      <c r="AU399" s="290" t="s">
        <v>37</v>
      </c>
    </row>
    <row r="400" spans="1:47" ht="39.75" thickBot="1" x14ac:dyDescent="0.3">
      <c r="A400" s="336"/>
      <c r="B400" s="196"/>
      <c r="C400" s="96"/>
      <c r="D400" s="566"/>
      <c r="E400" s="566"/>
      <c r="F400" s="96"/>
      <c r="G400" s="96"/>
      <c r="H400" s="107"/>
      <c r="I400" s="123"/>
      <c r="J400" s="539">
        <v>2432</v>
      </c>
      <c r="K400" s="357" t="s">
        <v>5220</v>
      </c>
      <c r="L400" s="898">
        <v>1887050.8419999999</v>
      </c>
      <c r="M400" s="898">
        <v>5557722.4994999999</v>
      </c>
      <c r="N400" s="107">
        <v>40</v>
      </c>
      <c r="O400" s="107" t="s">
        <v>3468</v>
      </c>
      <c r="P400" s="109" t="s">
        <v>194</v>
      </c>
      <c r="Q400" s="262"/>
      <c r="R400" s="262"/>
      <c r="S400" s="262"/>
      <c r="T400" s="343" t="s">
        <v>1496</v>
      </c>
      <c r="U400" s="294" t="s">
        <v>16</v>
      </c>
      <c r="V400" s="197" t="s">
        <v>85</v>
      </c>
      <c r="W400" s="86" t="s">
        <v>16</v>
      </c>
      <c r="X400" s="197" t="s">
        <v>194</v>
      </c>
      <c r="Y400" s="307" t="s">
        <v>1463</v>
      </c>
      <c r="Z400" s="92" t="s">
        <v>5221</v>
      </c>
      <c r="AA400" s="197">
        <v>2</v>
      </c>
      <c r="AB400" s="307" t="s">
        <v>5156</v>
      </c>
      <c r="AC400" s="197">
        <v>12</v>
      </c>
      <c r="AD400" s="197"/>
      <c r="AE400" s="197"/>
      <c r="AF400" s="197">
        <v>10</v>
      </c>
      <c r="AG400" s="197"/>
      <c r="AH400" s="197"/>
      <c r="AI400" s="94" t="s">
        <v>256</v>
      </c>
      <c r="AJ400" s="197" t="s">
        <v>3459</v>
      </c>
      <c r="AK400" s="197"/>
      <c r="AL400" s="197"/>
      <c r="AM400" s="197"/>
      <c r="AN400" s="94" t="s">
        <v>5783</v>
      </c>
      <c r="AO400" s="292" t="s">
        <v>5157</v>
      </c>
      <c r="AP400" s="92" t="s">
        <v>1462</v>
      </c>
      <c r="AQ400" s="92" t="s">
        <v>3457</v>
      </c>
      <c r="AR400" s="93">
        <v>44243</v>
      </c>
      <c r="AS400" s="92" t="s">
        <v>3457</v>
      </c>
      <c r="AT400" s="291">
        <v>44270</v>
      </c>
      <c r="AU400" s="290" t="s">
        <v>37</v>
      </c>
    </row>
    <row r="401" spans="1:47" ht="115.5" x14ac:dyDescent="0.25">
      <c r="A401" s="487" t="s">
        <v>1247</v>
      </c>
      <c r="B401" s="128" t="s">
        <v>4990</v>
      </c>
      <c r="C401" s="72">
        <v>697</v>
      </c>
      <c r="D401" s="586" t="s">
        <v>52</v>
      </c>
      <c r="E401" s="586"/>
      <c r="F401" s="72" t="s">
        <v>1262</v>
      </c>
      <c r="G401" s="140" t="s">
        <v>1263</v>
      </c>
      <c r="H401" s="129" t="s">
        <v>5501</v>
      </c>
      <c r="I401" s="128" t="s">
        <v>5502</v>
      </c>
      <c r="J401" s="187">
        <v>296</v>
      </c>
      <c r="K401" s="1058" t="s">
        <v>2388</v>
      </c>
      <c r="L401" s="914">
        <v>1363797.4855</v>
      </c>
      <c r="M401" s="914">
        <v>5112333.6962000001</v>
      </c>
      <c r="N401" s="129"/>
      <c r="O401" s="129" t="s">
        <v>2408</v>
      </c>
      <c r="P401" s="72" t="s">
        <v>193</v>
      </c>
      <c r="Q401" s="129"/>
      <c r="R401" s="129"/>
      <c r="S401" s="129"/>
      <c r="T401" s="266" t="s">
        <v>2636</v>
      </c>
      <c r="U401" s="31" t="s">
        <v>16</v>
      </c>
      <c r="V401" s="31" t="s">
        <v>10</v>
      </c>
      <c r="W401" s="31" t="s">
        <v>16</v>
      </c>
      <c r="X401" s="31" t="s">
        <v>193</v>
      </c>
      <c r="Y401" s="31" t="s">
        <v>2434</v>
      </c>
      <c r="Z401" s="40" t="s">
        <v>2468</v>
      </c>
      <c r="AA401" s="31">
        <v>1</v>
      </c>
      <c r="AB401" s="31" t="s">
        <v>2461</v>
      </c>
      <c r="AC401" s="31">
        <v>15.2</v>
      </c>
      <c r="AD401" s="31">
        <f>15.2-2.4</f>
        <v>12.799999999999999</v>
      </c>
      <c r="AE401" s="31">
        <f>15.2+2.4</f>
        <v>17.599999999999998</v>
      </c>
      <c r="AF401" s="31"/>
      <c r="AG401" s="372"/>
      <c r="AH401" s="372"/>
      <c r="AI401" s="30" t="s">
        <v>256</v>
      </c>
      <c r="AJ401" s="130"/>
      <c r="AK401" s="130"/>
      <c r="AL401" s="372"/>
      <c r="AM401" s="372"/>
      <c r="AN401" s="40" t="s">
        <v>2470</v>
      </c>
      <c r="AO401" s="40" t="s">
        <v>2472</v>
      </c>
      <c r="AP401" s="40" t="s">
        <v>2405</v>
      </c>
      <c r="AQ401" s="40" t="s">
        <v>37</v>
      </c>
      <c r="AR401" s="41">
        <v>44125</v>
      </c>
      <c r="AS401" s="40" t="s">
        <v>37</v>
      </c>
      <c r="AT401" s="54"/>
      <c r="AU401" s="652"/>
    </row>
    <row r="402" spans="1:47" ht="51.75" x14ac:dyDescent="0.25">
      <c r="A402" s="488"/>
      <c r="B402" s="131"/>
      <c r="C402" s="75"/>
      <c r="D402" s="568"/>
      <c r="E402" s="568"/>
      <c r="F402" s="75"/>
      <c r="G402" s="143"/>
      <c r="H402" s="118"/>
      <c r="I402" s="131"/>
      <c r="J402" s="188">
        <v>297</v>
      </c>
      <c r="K402" s="1059" t="s">
        <v>2389</v>
      </c>
      <c r="L402" s="915">
        <v>1363700.0364000001</v>
      </c>
      <c r="M402" s="915">
        <v>5112302.3945000004</v>
      </c>
      <c r="N402" s="118"/>
      <c r="O402" s="118" t="s">
        <v>2409</v>
      </c>
      <c r="P402" s="75" t="s">
        <v>193</v>
      </c>
      <c r="Q402" s="118"/>
      <c r="R402" s="118"/>
      <c r="S402" s="118"/>
      <c r="T402" s="601" t="s">
        <v>2637</v>
      </c>
      <c r="U402" s="24" t="s">
        <v>16</v>
      </c>
      <c r="V402" s="24" t="s">
        <v>10</v>
      </c>
      <c r="W402" s="24" t="s">
        <v>16</v>
      </c>
      <c r="X402" s="24" t="s">
        <v>193</v>
      </c>
      <c r="Y402" s="24" t="s">
        <v>2435</v>
      </c>
      <c r="Z402" s="46" t="s">
        <v>2468</v>
      </c>
      <c r="AA402" s="24">
        <v>1</v>
      </c>
      <c r="AB402" s="24" t="s">
        <v>2462</v>
      </c>
      <c r="AC402" s="24">
        <v>26.5</v>
      </c>
      <c r="AD402" s="24">
        <f>26.5-4</f>
        <v>22.5</v>
      </c>
      <c r="AE402" s="24">
        <f>26.5+4</f>
        <v>30.5</v>
      </c>
      <c r="AF402" s="24"/>
      <c r="AG402" s="351"/>
      <c r="AH402" s="351"/>
      <c r="AI402" s="45" t="s">
        <v>256</v>
      </c>
      <c r="AJ402" s="103"/>
      <c r="AK402" s="103"/>
      <c r="AL402" s="351"/>
      <c r="AM402" s="351"/>
      <c r="AN402" s="46" t="s">
        <v>2470</v>
      </c>
      <c r="AO402" s="46" t="s">
        <v>2473</v>
      </c>
      <c r="AP402" s="46" t="s">
        <v>2405</v>
      </c>
      <c r="AQ402" s="46" t="s">
        <v>37</v>
      </c>
      <c r="AR402" s="47">
        <v>44125</v>
      </c>
      <c r="AS402" s="46" t="s">
        <v>37</v>
      </c>
      <c r="AT402" s="365"/>
      <c r="AU402" s="1107"/>
    </row>
    <row r="403" spans="1:47" ht="51.75" x14ac:dyDescent="0.25">
      <c r="A403" s="488"/>
      <c r="B403" s="131"/>
      <c r="C403" s="75"/>
      <c r="D403" s="568"/>
      <c r="E403" s="568"/>
      <c r="F403" s="75"/>
      <c r="G403" s="143"/>
      <c r="H403" s="118"/>
      <c r="I403" s="131"/>
      <c r="J403" s="188">
        <v>298</v>
      </c>
      <c r="K403" s="1059" t="s">
        <v>2388</v>
      </c>
      <c r="L403" s="915">
        <v>1363864.4587999999</v>
      </c>
      <c r="M403" s="915">
        <v>5111695.4855000004</v>
      </c>
      <c r="N403" s="118"/>
      <c r="O403" s="118" t="s">
        <v>2410</v>
      </c>
      <c r="P403" s="75" t="s">
        <v>193</v>
      </c>
      <c r="Q403" s="118"/>
      <c r="R403" s="118"/>
      <c r="S403" s="118"/>
      <c r="T403" s="601" t="s">
        <v>2638</v>
      </c>
      <c r="U403" s="24" t="s">
        <v>16</v>
      </c>
      <c r="V403" s="24" t="s">
        <v>10</v>
      </c>
      <c r="W403" s="24" t="s">
        <v>16</v>
      </c>
      <c r="X403" s="24" t="s">
        <v>193</v>
      </c>
      <c r="Y403" s="24" t="s">
        <v>2436</v>
      </c>
      <c r="Z403" s="46" t="s">
        <v>2468</v>
      </c>
      <c r="AA403" s="24">
        <v>1</v>
      </c>
      <c r="AB403" s="24" t="s">
        <v>2461</v>
      </c>
      <c r="AC403" s="24">
        <v>15.2</v>
      </c>
      <c r="AD403" s="24">
        <v>12.8</v>
      </c>
      <c r="AE403" s="24">
        <v>17.600000000000001</v>
      </c>
      <c r="AF403" s="24"/>
      <c r="AG403" s="351"/>
      <c r="AH403" s="351"/>
      <c r="AI403" s="45" t="s">
        <v>256</v>
      </c>
      <c r="AJ403" s="103"/>
      <c r="AK403" s="103"/>
      <c r="AL403" s="351"/>
      <c r="AM403" s="351"/>
      <c r="AN403" s="46" t="s">
        <v>2470</v>
      </c>
      <c r="AO403" s="46" t="s">
        <v>2472</v>
      </c>
      <c r="AP403" s="46" t="s">
        <v>2405</v>
      </c>
      <c r="AQ403" s="46" t="s">
        <v>37</v>
      </c>
      <c r="AR403" s="47">
        <v>44125</v>
      </c>
      <c r="AS403" s="46" t="s">
        <v>37</v>
      </c>
      <c r="AT403" s="365"/>
      <c r="AU403" s="1107"/>
    </row>
    <row r="404" spans="1:47" ht="51.75" x14ac:dyDescent="0.25">
      <c r="A404" s="488"/>
      <c r="B404" s="131"/>
      <c r="C404" s="75"/>
      <c r="D404" s="568"/>
      <c r="E404" s="568"/>
      <c r="F404" s="75"/>
      <c r="G404" s="143"/>
      <c r="H404" s="118"/>
      <c r="I404" s="131"/>
      <c r="J404" s="188">
        <v>299</v>
      </c>
      <c r="K404" s="1059" t="s">
        <v>2390</v>
      </c>
      <c r="L404" s="915">
        <v>1363100.2526</v>
      </c>
      <c r="M404" s="915">
        <v>5108062.3031000001</v>
      </c>
      <c r="N404" s="118" t="s">
        <v>33</v>
      </c>
      <c r="O404" s="118" t="s">
        <v>1286</v>
      </c>
      <c r="P404" s="75" t="s">
        <v>193</v>
      </c>
      <c r="Q404" s="118"/>
      <c r="R404" s="118"/>
      <c r="S404" s="118"/>
      <c r="T404" s="601" t="s">
        <v>1273</v>
      </c>
      <c r="U404" s="24" t="s">
        <v>16</v>
      </c>
      <c r="V404" s="24" t="s">
        <v>16</v>
      </c>
      <c r="W404" s="24" t="s">
        <v>16</v>
      </c>
      <c r="X404" s="24" t="s">
        <v>193</v>
      </c>
      <c r="Y404" s="24" t="s">
        <v>2437</v>
      </c>
      <c r="Z404" s="46" t="s">
        <v>2468</v>
      </c>
      <c r="AA404" s="24">
        <v>1</v>
      </c>
      <c r="AB404" s="24" t="s">
        <v>2463</v>
      </c>
      <c r="AC404" s="24">
        <f>AD404+(AE404-AD404)/2</f>
        <v>89</v>
      </c>
      <c r="AD404" s="24">
        <v>73</v>
      </c>
      <c r="AE404" s="24">
        <v>105</v>
      </c>
      <c r="AF404" s="24"/>
      <c r="AG404" s="351"/>
      <c r="AH404" s="351"/>
      <c r="AI404" s="45" t="s">
        <v>256</v>
      </c>
      <c r="AJ404" s="103"/>
      <c r="AK404" s="103"/>
      <c r="AL404" s="351"/>
      <c r="AM404" s="351"/>
      <c r="AN404" s="46" t="s">
        <v>2470</v>
      </c>
      <c r="AO404" s="46" t="s">
        <v>2475</v>
      </c>
      <c r="AP404" s="46" t="s">
        <v>2405</v>
      </c>
      <c r="AQ404" s="46" t="s">
        <v>37</v>
      </c>
      <c r="AR404" s="47">
        <v>44125</v>
      </c>
      <c r="AS404" s="46" t="s">
        <v>37</v>
      </c>
      <c r="AT404" s="365"/>
      <c r="AU404" s="1107"/>
    </row>
    <row r="405" spans="1:47" ht="51.75" x14ac:dyDescent="0.25">
      <c r="A405" s="488"/>
      <c r="B405" s="131"/>
      <c r="C405" s="75"/>
      <c r="D405" s="568"/>
      <c r="E405" s="568"/>
      <c r="F405" s="75"/>
      <c r="G405" s="143"/>
      <c r="H405" s="118"/>
      <c r="I405" s="131"/>
      <c r="J405" s="188">
        <v>300</v>
      </c>
      <c r="K405" s="1059" t="s">
        <v>2391</v>
      </c>
      <c r="L405" s="915">
        <v>1363057.9035</v>
      </c>
      <c r="M405" s="915">
        <v>5107970.6891999999</v>
      </c>
      <c r="N405" s="118"/>
      <c r="O405" s="118" t="s">
        <v>2411</v>
      </c>
      <c r="P405" s="75" t="s">
        <v>193</v>
      </c>
      <c r="Q405" s="118"/>
      <c r="R405" s="118"/>
      <c r="S405" s="118"/>
      <c r="T405" s="601" t="s">
        <v>2639</v>
      </c>
      <c r="U405" s="24" t="s">
        <v>16</v>
      </c>
      <c r="V405" s="24" t="s">
        <v>16</v>
      </c>
      <c r="W405" s="24" t="s">
        <v>16</v>
      </c>
      <c r="X405" s="24" t="s">
        <v>193</v>
      </c>
      <c r="Y405" s="24" t="s">
        <v>2438</v>
      </c>
      <c r="Z405" s="46" t="s">
        <v>2468</v>
      </c>
      <c r="AA405" s="24">
        <v>1</v>
      </c>
      <c r="AB405" s="24" t="s">
        <v>2463</v>
      </c>
      <c r="AC405" s="24">
        <f>AD405+(AE405-AD405)/2</f>
        <v>89</v>
      </c>
      <c r="AD405" s="24">
        <v>73</v>
      </c>
      <c r="AE405" s="24">
        <v>105</v>
      </c>
      <c r="AF405" s="24"/>
      <c r="AG405" s="351"/>
      <c r="AH405" s="351"/>
      <c r="AI405" s="45" t="s">
        <v>256</v>
      </c>
      <c r="AJ405" s="103"/>
      <c r="AK405" s="103"/>
      <c r="AL405" s="351"/>
      <c r="AM405" s="351"/>
      <c r="AN405" s="46" t="s">
        <v>2470</v>
      </c>
      <c r="AO405" s="46" t="s">
        <v>2475</v>
      </c>
      <c r="AP405" s="46" t="s">
        <v>2405</v>
      </c>
      <c r="AQ405" s="46" t="s">
        <v>37</v>
      </c>
      <c r="AR405" s="47">
        <v>44125</v>
      </c>
      <c r="AS405" s="46" t="s">
        <v>37</v>
      </c>
      <c r="AT405" s="365"/>
      <c r="AU405" s="1107"/>
    </row>
    <row r="406" spans="1:47" ht="51.75" x14ac:dyDescent="0.25">
      <c r="A406" s="488"/>
      <c r="B406" s="131"/>
      <c r="C406" s="75"/>
      <c r="D406" s="568"/>
      <c r="E406" s="568"/>
      <c r="F406" s="75"/>
      <c r="G406" s="143"/>
      <c r="H406" s="118"/>
      <c r="I406" s="131"/>
      <c r="J406" s="188">
        <v>301</v>
      </c>
      <c r="K406" s="1059" t="s">
        <v>2360</v>
      </c>
      <c r="L406" s="915">
        <v>1363248.7847</v>
      </c>
      <c r="M406" s="915">
        <v>5108430.2281999998</v>
      </c>
      <c r="N406" s="118"/>
      <c r="O406" s="118" t="s">
        <v>2409</v>
      </c>
      <c r="P406" s="75" t="s">
        <v>193</v>
      </c>
      <c r="Q406" s="118"/>
      <c r="R406" s="118"/>
      <c r="S406" s="118"/>
      <c r="T406" s="601" t="s">
        <v>2637</v>
      </c>
      <c r="U406" s="24" t="s">
        <v>16</v>
      </c>
      <c r="V406" s="24" t="s">
        <v>10</v>
      </c>
      <c r="W406" s="24" t="s">
        <v>16</v>
      </c>
      <c r="X406" s="24" t="s">
        <v>193</v>
      </c>
      <c r="Y406" s="24" t="s">
        <v>2439</v>
      </c>
      <c r="Z406" s="46" t="s">
        <v>2468</v>
      </c>
      <c r="AA406" s="24">
        <v>1</v>
      </c>
      <c r="AB406" s="24" t="s">
        <v>2462</v>
      </c>
      <c r="AC406" s="24">
        <v>26.5</v>
      </c>
      <c r="AD406" s="24">
        <f>26.5-4</f>
        <v>22.5</v>
      </c>
      <c r="AE406" s="24">
        <f>26.5+4</f>
        <v>30.5</v>
      </c>
      <c r="AF406" s="24"/>
      <c r="AG406" s="351"/>
      <c r="AH406" s="351"/>
      <c r="AI406" s="45" t="s">
        <v>256</v>
      </c>
      <c r="AJ406" s="103"/>
      <c r="AK406" s="103"/>
      <c r="AL406" s="351"/>
      <c r="AM406" s="351"/>
      <c r="AN406" s="46" t="s">
        <v>2470</v>
      </c>
      <c r="AO406" s="46" t="s">
        <v>2473</v>
      </c>
      <c r="AP406" s="46" t="s">
        <v>2405</v>
      </c>
      <c r="AQ406" s="46" t="s">
        <v>37</v>
      </c>
      <c r="AR406" s="47">
        <v>44125</v>
      </c>
      <c r="AS406" s="46" t="s">
        <v>37</v>
      </c>
      <c r="AT406" s="365"/>
      <c r="AU406" s="1107"/>
    </row>
    <row r="407" spans="1:47" ht="51.75" x14ac:dyDescent="0.25">
      <c r="A407" s="488"/>
      <c r="B407" s="131"/>
      <c r="C407" s="75"/>
      <c r="D407" s="568"/>
      <c r="E407" s="568"/>
      <c r="F407" s="75"/>
      <c r="G407" s="143"/>
      <c r="H407" s="118"/>
      <c r="I407" s="131"/>
      <c r="J407" s="188">
        <v>302</v>
      </c>
      <c r="K407" s="1059" t="s">
        <v>2392</v>
      </c>
      <c r="L407" s="915">
        <v>1363154.7594000001</v>
      </c>
      <c r="M407" s="915">
        <v>5108238.8812999995</v>
      </c>
      <c r="N407" s="118"/>
      <c r="O407" s="118" t="s">
        <v>2412</v>
      </c>
      <c r="P407" s="75" t="s">
        <v>193</v>
      </c>
      <c r="Q407" s="118"/>
      <c r="R407" s="118"/>
      <c r="S407" s="118"/>
      <c r="T407" s="601" t="s">
        <v>2640</v>
      </c>
      <c r="U407" s="24" t="s">
        <v>16</v>
      </c>
      <c r="V407" s="24" t="s">
        <v>10</v>
      </c>
      <c r="W407" s="24" t="s">
        <v>16</v>
      </c>
      <c r="X407" s="24" t="s">
        <v>193</v>
      </c>
      <c r="Y407" s="24" t="s">
        <v>2440</v>
      </c>
      <c r="Z407" s="46" t="s">
        <v>2468</v>
      </c>
      <c r="AA407" s="24">
        <v>1</v>
      </c>
      <c r="AB407" s="24" t="s">
        <v>2462</v>
      </c>
      <c r="AC407" s="24">
        <v>26.5</v>
      </c>
      <c r="AD407" s="24">
        <f>26.5-4</f>
        <v>22.5</v>
      </c>
      <c r="AE407" s="24">
        <f>26.5+4</f>
        <v>30.5</v>
      </c>
      <c r="AF407" s="24"/>
      <c r="AG407" s="351"/>
      <c r="AH407" s="351"/>
      <c r="AI407" s="45" t="s">
        <v>256</v>
      </c>
      <c r="AJ407" s="103"/>
      <c r="AK407" s="103"/>
      <c r="AL407" s="351"/>
      <c r="AM407" s="351"/>
      <c r="AN407" s="46" t="s">
        <v>2470</v>
      </c>
      <c r="AO407" s="46" t="s">
        <v>2473</v>
      </c>
      <c r="AP407" s="46" t="s">
        <v>2405</v>
      </c>
      <c r="AQ407" s="46" t="s">
        <v>37</v>
      </c>
      <c r="AR407" s="47">
        <v>44125</v>
      </c>
      <c r="AS407" s="46" t="s">
        <v>37</v>
      </c>
      <c r="AT407" s="365"/>
      <c r="AU407" s="1107"/>
    </row>
    <row r="408" spans="1:47" ht="51.75" x14ac:dyDescent="0.25">
      <c r="A408" s="488"/>
      <c r="B408" s="131"/>
      <c r="C408" s="75"/>
      <c r="D408" s="568"/>
      <c r="E408" s="568"/>
      <c r="F408" s="75"/>
      <c r="G408" s="143"/>
      <c r="H408" s="118"/>
      <c r="I408" s="131"/>
      <c r="J408" s="188">
        <v>303</v>
      </c>
      <c r="K408" s="1059" t="s">
        <v>2393</v>
      </c>
      <c r="L408" s="915">
        <v>1362238.7501000001</v>
      </c>
      <c r="M408" s="915">
        <v>5104536.6427999996</v>
      </c>
      <c r="N408" s="118"/>
      <c r="O408" s="118" t="s">
        <v>2413</v>
      </c>
      <c r="P408" s="75" t="s">
        <v>193</v>
      </c>
      <c r="Q408" s="118"/>
      <c r="R408" s="118"/>
      <c r="S408" s="118"/>
      <c r="T408" s="601" t="s">
        <v>2641</v>
      </c>
      <c r="U408" s="24" t="s">
        <v>16</v>
      </c>
      <c r="V408" s="24" t="s">
        <v>16</v>
      </c>
      <c r="W408" s="24" t="s">
        <v>16</v>
      </c>
      <c r="X408" s="24" t="s">
        <v>193</v>
      </c>
      <c r="Y408" s="24" t="s">
        <v>2441</v>
      </c>
      <c r="Z408" s="46" t="s">
        <v>2468</v>
      </c>
      <c r="AA408" s="24">
        <v>1</v>
      </c>
      <c r="AB408" s="24" t="s">
        <v>2464</v>
      </c>
      <c r="AC408" s="24">
        <v>110.8</v>
      </c>
      <c r="AD408" s="24">
        <f>110.8-11.5</f>
        <v>99.3</v>
      </c>
      <c r="AE408" s="24">
        <f>110.8+11.5</f>
        <v>122.3</v>
      </c>
      <c r="AF408" s="24"/>
      <c r="AG408" s="351"/>
      <c r="AH408" s="351"/>
      <c r="AI408" s="45" t="s">
        <v>256</v>
      </c>
      <c r="AJ408" s="103"/>
      <c r="AK408" s="103"/>
      <c r="AL408" s="351"/>
      <c r="AM408" s="351"/>
      <c r="AN408" s="46" t="s">
        <v>2470</v>
      </c>
      <c r="AO408" s="46" t="s">
        <v>2478</v>
      </c>
      <c r="AP408" s="46" t="s">
        <v>2405</v>
      </c>
      <c r="AQ408" s="46" t="s">
        <v>37</v>
      </c>
      <c r="AR408" s="47">
        <v>44125</v>
      </c>
      <c r="AS408" s="46" t="s">
        <v>37</v>
      </c>
      <c r="AT408" s="365"/>
      <c r="AU408" s="1107"/>
    </row>
    <row r="409" spans="1:47" ht="51.75" x14ac:dyDescent="0.25">
      <c r="A409" s="488"/>
      <c r="B409" s="131"/>
      <c r="C409" s="75"/>
      <c r="D409" s="568"/>
      <c r="E409" s="568"/>
      <c r="F409" s="75"/>
      <c r="G409" s="143"/>
      <c r="H409" s="118"/>
      <c r="I409" s="131"/>
      <c r="J409" s="188">
        <v>304</v>
      </c>
      <c r="K409" s="1059" t="s">
        <v>2394</v>
      </c>
      <c r="L409" s="915">
        <v>1362878.8160000001</v>
      </c>
      <c r="M409" s="915">
        <v>5106008.9857999999</v>
      </c>
      <c r="N409" s="118"/>
      <c r="O409" s="118" t="s">
        <v>2414</v>
      </c>
      <c r="P409" s="75" t="s">
        <v>193</v>
      </c>
      <c r="Q409" s="118"/>
      <c r="R409" s="118"/>
      <c r="S409" s="118"/>
      <c r="T409" s="601" t="s">
        <v>2652</v>
      </c>
      <c r="U409" s="24" t="s">
        <v>16</v>
      </c>
      <c r="V409" s="24" t="s">
        <v>16</v>
      </c>
      <c r="W409" s="24" t="s">
        <v>16</v>
      </c>
      <c r="X409" s="24" t="s">
        <v>193</v>
      </c>
      <c r="Y409" s="24" t="s">
        <v>2442</v>
      </c>
      <c r="Z409" s="46" t="s">
        <v>2468</v>
      </c>
      <c r="AA409" s="24">
        <v>1</v>
      </c>
      <c r="AB409" s="24" t="s">
        <v>2465</v>
      </c>
      <c r="AC409" s="24">
        <v>110.8</v>
      </c>
      <c r="AD409" s="24">
        <f>110.8-11.5</f>
        <v>99.3</v>
      </c>
      <c r="AE409" s="24">
        <f>110.8+11.5</f>
        <v>122.3</v>
      </c>
      <c r="AF409" s="24"/>
      <c r="AG409" s="351"/>
      <c r="AH409" s="351"/>
      <c r="AI409" s="45" t="s">
        <v>256</v>
      </c>
      <c r="AJ409" s="103"/>
      <c r="AK409" s="103"/>
      <c r="AL409" s="351"/>
      <c r="AM409" s="351"/>
      <c r="AN409" s="46" t="s">
        <v>2471</v>
      </c>
      <c r="AO409" s="46" t="s">
        <v>2478</v>
      </c>
      <c r="AP409" s="46" t="s">
        <v>2405</v>
      </c>
      <c r="AQ409" s="46" t="s">
        <v>37</v>
      </c>
      <c r="AR409" s="47">
        <v>44125</v>
      </c>
      <c r="AS409" s="46" t="s">
        <v>37</v>
      </c>
      <c r="AT409" s="365"/>
      <c r="AU409" s="1107"/>
    </row>
    <row r="410" spans="1:47" ht="51.75" x14ac:dyDescent="0.25">
      <c r="A410" s="488"/>
      <c r="B410" s="131"/>
      <c r="C410" s="75"/>
      <c r="D410" s="568"/>
      <c r="E410" s="568"/>
      <c r="F410" s="75"/>
      <c r="G410" s="143"/>
      <c r="H410" s="118"/>
      <c r="I410" s="131"/>
      <c r="J410" s="188">
        <v>305</v>
      </c>
      <c r="K410" s="1059" t="s">
        <v>2393</v>
      </c>
      <c r="L410" s="915">
        <v>1362238.7501000001</v>
      </c>
      <c r="M410" s="915">
        <v>5104536.6427999996</v>
      </c>
      <c r="N410" s="118"/>
      <c r="O410" s="118" t="s">
        <v>2415</v>
      </c>
      <c r="P410" s="75" t="s">
        <v>193</v>
      </c>
      <c r="Q410" s="118"/>
      <c r="R410" s="118"/>
      <c r="S410" s="118"/>
      <c r="T410" s="601" t="s">
        <v>2642</v>
      </c>
      <c r="U410" s="24" t="s">
        <v>16</v>
      </c>
      <c r="V410" s="24" t="s">
        <v>85</v>
      </c>
      <c r="W410" s="24" t="s">
        <v>85</v>
      </c>
      <c r="X410" s="24" t="s">
        <v>193</v>
      </c>
      <c r="Y410" s="24" t="s">
        <v>2441</v>
      </c>
      <c r="Z410" s="46" t="s">
        <v>2468</v>
      </c>
      <c r="AA410" s="24">
        <v>1</v>
      </c>
      <c r="AB410" s="24" t="s">
        <v>2466</v>
      </c>
      <c r="AC410" s="24">
        <f>AD410+(AE410-AD410)/2</f>
        <v>160.5</v>
      </c>
      <c r="AD410" s="24">
        <v>130</v>
      </c>
      <c r="AE410" s="24">
        <v>191</v>
      </c>
      <c r="AF410" s="24"/>
      <c r="AG410" s="351"/>
      <c r="AH410" s="351"/>
      <c r="AI410" s="45" t="s">
        <v>256</v>
      </c>
      <c r="AJ410" s="103"/>
      <c r="AK410" s="103"/>
      <c r="AL410" s="351"/>
      <c r="AM410" s="351"/>
      <c r="AN410" s="46" t="s">
        <v>2470</v>
      </c>
      <c r="AO410" s="46" t="s">
        <v>2479</v>
      </c>
      <c r="AP410" s="46" t="s">
        <v>2405</v>
      </c>
      <c r="AQ410" s="46" t="s">
        <v>37</v>
      </c>
      <c r="AR410" s="47">
        <v>44125</v>
      </c>
      <c r="AS410" s="46" t="s">
        <v>37</v>
      </c>
      <c r="AT410" s="365"/>
      <c r="AU410" s="1107"/>
    </row>
    <row r="411" spans="1:47" ht="51.75" x14ac:dyDescent="0.25">
      <c r="A411" s="488"/>
      <c r="B411" s="131"/>
      <c r="C411" s="75"/>
      <c r="D411" s="568"/>
      <c r="E411" s="568"/>
      <c r="F411" s="75"/>
      <c r="G411" s="143"/>
      <c r="H411" s="118"/>
      <c r="I411" s="131"/>
      <c r="J411" s="188">
        <v>306</v>
      </c>
      <c r="K411" s="1059" t="s">
        <v>2394</v>
      </c>
      <c r="L411" s="915">
        <v>1362878.8160000001</v>
      </c>
      <c r="M411" s="915">
        <v>5106008.9857999999</v>
      </c>
      <c r="N411" s="118"/>
      <c r="O411" s="118" t="s">
        <v>2416</v>
      </c>
      <c r="P411" s="75" t="s">
        <v>193</v>
      </c>
      <c r="Q411" s="118"/>
      <c r="R411" s="118"/>
      <c r="S411" s="118"/>
      <c r="T411" s="601" t="s">
        <v>2643</v>
      </c>
      <c r="U411" s="24" t="s">
        <v>16</v>
      </c>
      <c r="V411" s="24" t="s">
        <v>85</v>
      </c>
      <c r="W411" s="24" t="s">
        <v>85</v>
      </c>
      <c r="X411" s="24" t="s">
        <v>193</v>
      </c>
      <c r="Y411" s="24" t="s">
        <v>2443</v>
      </c>
      <c r="Z411" s="46" t="s">
        <v>2468</v>
      </c>
      <c r="AA411" s="24">
        <v>1</v>
      </c>
      <c r="AB411" s="24" t="s">
        <v>2466</v>
      </c>
      <c r="AC411" s="24">
        <f>AD411+(AE411-AD411)/2</f>
        <v>160.5</v>
      </c>
      <c r="AD411" s="24">
        <v>130</v>
      </c>
      <c r="AE411" s="24">
        <v>191</v>
      </c>
      <c r="AF411" s="24"/>
      <c r="AG411" s="351"/>
      <c r="AH411" s="351"/>
      <c r="AI411" s="45" t="s">
        <v>256</v>
      </c>
      <c r="AJ411" s="103"/>
      <c r="AK411" s="103"/>
      <c r="AL411" s="351"/>
      <c r="AM411" s="351"/>
      <c r="AN411" s="46" t="s">
        <v>2471</v>
      </c>
      <c r="AO411" s="46" t="s">
        <v>2479</v>
      </c>
      <c r="AP411" s="46" t="s">
        <v>2405</v>
      </c>
      <c r="AQ411" s="46" t="s">
        <v>37</v>
      </c>
      <c r="AR411" s="47">
        <v>44125</v>
      </c>
      <c r="AS411" s="46" t="s">
        <v>37</v>
      </c>
      <c r="AT411" s="365"/>
      <c r="AU411" s="1107"/>
    </row>
    <row r="412" spans="1:47" ht="51.75" x14ac:dyDescent="0.25">
      <c r="A412" s="488"/>
      <c r="B412" s="131"/>
      <c r="C412" s="75"/>
      <c r="D412" s="568"/>
      <c r="E412" s="568"/>
      <c r="F412" s="75"/>
      <c r="G412" s="143"/>
      <c r="H412" s="118"/>
      <c r="I412" s="131"/>
      <c r="J412" s="188">
        <v>307</v>
      </c>
      <c r="K412" s="1059" t="s">
        <v>2392</v>
      </c>
      <c r="L412" s="915">
        <v>1362709.5024000001</v>
      </c>
      <c r="M412" s="915">
        <v>5105354.4578</v>
      </c>
      <c r="N412" s="118"/>
      <c r="O412" s="118" t="s">
        <v>2417</v>
      </c>
      <c r="P412" s="75" t="s">
        <v>193</v>
      </c>
      <c r="Q412" s="118"/>
      <c r="R412" s="118"/>
      <c r="S412" s="118"/>
      <c r="T412" s="601" t="s">
        <v>2644</v>
      </c>
      <c r="U412" s="24" t="s">
        <v>16</v>
      </c>
      <c r="V412" s="24" t="s">
        <v>10</v>
      </c>
      <c r="W412" s="24" t="s">
        <v>16</v>
      </c>
      <c r="X412" s="24" t="s">
        <v>193</v>
      </c>
      <c r="Y412" s="24" t="s">
        <v>2444</v>
      </c>
      <c r="Z412" s="46" t="s">
        <v>2468</v>
      </c>
      <c r="AA412" s="24">
        <v>1</v>
      </c>
      <c r="AB412" s="24" t="s">
        <v>2462</v>
      </c>
      <c r="AC412" s="24">
        <v>26.5</v>
      </c>
      <c r="AD412" s="24">
        <f>26.5-4</f>
        <v>22.5</v>
      </c>
      <c r="AE412" s="24">
        <f>26.5+4</f>
        <v>30.5</v>
      </c>
      <c r="AF412" s="24"/>
      <c r="AG412" s="351"/>
      <c r="AH412" s="351"/>
      <c r="AI412" s="45" t="s">
        <v>256</v>
      </c>
      <c r="AJ412" s="103"/>
      <c r="AK412" s="103"/>
      <c r="AL412" s="351"/>
      <c r="AM412" s="351"/>
      <c r="AN412" s="46" t="s">
        <v>2470</v>
      </c>
      <c r="AO412" s="46" t="s">
        <v>2473</v>
      </c>
      <c r="AP412" s="46" t="s">
        <v>2405</v>
      </c>
      <c r="AQ412" s="46" t="s">
        <v>37</v>
      </c>
      <c r="AR412" s="47">
        <v>44125</v>
      </c>
      <c r="AS412" s="46" t="s">
        <v>37</v>
      </c>
      <c r="AT412" s="365"/>
      <c r="AU412" s="1107"/>
    </row>
    <row r="413" spans="1:47" ht="51.75" x14ac:dyDescent="0.25">
      <c r="A413" s="488"/>
      <c r="B413" s="131"/>
      <c r="C413" s="75"/>
      <c r="D413" s="568"/>
      <c r="E413" s="568"/>
      <c r="F413" s="75"/>
      <c r="G413" s="143"/>
      <c r="H413" s="118"/>
      <c r="I413" s="131"/>
      <c r="J413" s="188">
        <v>308</v>
      </c>
      <c r="K413" s="1059" t="s">
        <v>2395</v>
      </c>
      <c r="L413" s="915">
        <v>1362446.1509</v>
      </c>
      <c r="M413" s="915">
        <v>5105043.5306000002</v>
      </c>
      <c r="N413" s="118"/>
      <c r="O413" s="118" t="s">
        <v>2409</v>
      </c>
      <c r="P413" s="75" t="s">
        <v>193</v>
      </c>
      <c r="Q413" s="118"/>
      <c r="R413" s="118"/>
      <c r="S413" s="118"/>
      <c r="T413" s="601" t="s">
        <v>2637</v>
      </c>
      <c r="U413" s="24" t="s">
        <v>16</v>
      </c>
      <c r="V413" s="24" t="s">
        <v>10</v>
      </c>
      <c r="W413" s="24" t="s">
        <v>16</v>
      </c>
      <c r="X413" s="24" t="s">
        <v>193</v>
      </c>
      <c r="Y413" s="24" t="s">
        <v>2445</v>
      </c>
      <c r="Z413" s="46" t="s">
        <v>2468</v>
      </c>
      <c r="AA413" s="24">
        <v>1</v>
      </c>
      <c r="AB413" s="24" t="s">
        <v>2462</v>
      </c>
      <c r="AC413" s="24">
        <v>26.5</v>
      </c>
      <c r="AD413" s="24">
        <f>26.5-4</f>
        <v>22.5</v>
      </c>
      <c r="AE413" s="24">
        <f>26.5+4</f>
        <v>30.5</v>
      </c>
      <c r="AF413" s="24"/>
      <c r="AG413" s="351"/>
      <c r="AH413" s="351"/>
      <c r="AI413" s="45" t="s">
        <v>256</v>
      </c>
      <c r="AJ413" s="103"/>
      <c r="AK413" s="103"/>
      <c r="AL413" s="351"/>
      <c r="AM413" s="351"/>
      <c r="AN413" s="46" t="s">
        <v>2470</v>
      </c>
      <c r="AO413" s="46" t="s">
        <v>2473</v>
      </c>
      <c r="AP413" s="46" t="s">
        <v>2405</v>
      </c>
      <c r="AQ413" s="46" t="s">
        <v>37</v>
      </c>
      <c r="AR413" s="47">
        <v>44125</v>
      </c>
      <c r="AS413" s="46" t="s">
        <v>37</v>
      </c>
      <c r="AT413" s="365"/>
      <c r="AU413" s="1107"/>
    </row>
    <row r="414" spans="1:47" ht="54" x14ac:dyDescent="0.25">
      <c r="A414" s="488"/>
      <c r="B414" s="131"/>
      <c r="C414" s="75"/>
      <c r="D414" s="568"/>
      <c r="E414" s="568"/>
      <c r="F414" s="75"/>
      <c r="G414" s="143"/>
      <c r="H414" s="118"/>
      <c r="I414" s="131"/>
      <c r="J414" s="188">
        <v>328</v>
      </c>
      <c r="K414" s="1059" t="s">
        <v>2279</v>
      </c>
      <c r="L414" s="915">
        <v>1364319.0351</v>
      </c>
      <c r="M414" s="915">
        <v>5112293.4437999995</v>
      </c>
      <c r="N414" s="118"/>
      <c r="O414" s="118" t="s">
        <v>2480</v>
      </c>
      <c r="P414" s="75" t="s">
        <v>193</v>
      </c>
      <c r="Q414" s="118"/>
      <c r="R414" s="118"/>
      <c r="S414" s="118"/>
      <c r="T414" s="601" t="s">
        <v>2662</v>
      </c>
      <c r="U414" s="24" t="s">
        <v>10</v>
      </c>
      <c r="V414" s="24" t="s">
        <v>10</v>
      </c>
      <c r="W414" s="24" t="s">
        <v>10</v>
      </c>
      <c r="X414" s="24" t="s">
        <v>193</v>
      </c>
      <c r="Y414" s="24" t="s">
        <v>2503</v>
      </c>
      <c r="Z414" s="46" t="s">
        <v>2468</v>
      </c>
      <c r="AA414" s="24">
        <v>1</v>
      </c>
      <c r="AB414" s="24" t="s">
        <v>2461</v>
      </c>
      <c r="AC414" s="24">
        <v>15.2</v>
      </c>
      <c r="AD414" s="24">
        <f>15.2-2.4</f>
        <v>12.799999999999999</v>
      </c>
      <c r="AE414" s="24">
        <f>15.2+2.4</f>
        <v>17.599999999999998</v>
      </c>
      <c r="AF414" s="24"/>
      <c r="AG414" s="351"/>
      <c r="AH414" s="351"/>
      <c r="AI414" s="403" t="s">
        <v>2469</v>
      </c>
      <c r="AJ414" s="103"/>
      <c r="AK414" s="103"/>
      <c r="AL414" s="351"/>
      <c r="AM414" s="351"/>
      <c r="AN414" s="46" t="s">
        <v>2561</v>
      </c>
      <c r="AO414" s="46" t="s">
        <v>2560</v>
      </c>
      <c r="AP414" s="46" t="s">
        <v>2405</v>
      </c>
      <c r="AQ414" s="46" t="s">
        <v>37</v>
      </c>
      <c r="AR414" s="47">
        <v>44125</v>
      </c>
      <c r="AS414" s="46" t="s">
        <v>37</v>
      </c>
      <c r="AT414" s="365"/>
      <c r="AU414" s="1107"/>
    </row>
    <row r="415" spans="1:47" ht="54" x14ac:dyDescent="0.25">
      <c r="A415" s="488"/>
      <c r="B415" s="131"/>
      <c r="C415" s="75"/>
      <c r="D415" s="568"/>
      <c r="E415" s="568"/>
      <c r="F415" s="75"/>
      <c r="G415" s="143"/>
      <c r="H415" s="118"/>
      <c r="I415" s="131"/>
      <c r="J415" s="188">
        <v>329</v>
      </c>
      <c r="K415" s="1059" t="s">
        <v>2280</v>
      </c>
      <c r="L415" s="915">
        <v>1364349.6927</v>
      </c>
      <c r="M415" s="915">
        <v>5112310.1117000002</v>
      </c>
      <c r="N415" s="118"/>
      <c r="O415" s="118" t="s">
        <v>2481</v>
      </c>
      <c r="P415" s="75" t="s">
        <v>193</v>
      </c>
      <c r="Q415" s="118"/>
      <c r="R415" s="118"/>
      <c r="S415" s="118"/>
      <c r="T415" s="601" t="s">
        <v>2663</v>
      </c>
      <c r="U415" s="24" t="s">
        <v>10</v>
      </c>
      <c r="V415" s="24" t="s">
        <v>10</v>
      </c>
      <c r="W415" s="24" t="s">
        <v>10</v>
      </c>
      <c r="X415" s="24" t="s">
        <v>193</v>
      </c>
      <c r="Y415" s="24" t="s">
        <v>2504</v>
      </c>
      <c r="Z415" s="46" t="s">
        <v>2468</v>
      </c>
      <c r="AA415" s="24">
        <v>1</v>
      </c>
      <c r="AB415" s="24" t="s">
        <v>2461</v>
      </c>
      <c r="AC415" s="24">
        <v>15.2</v>
      </c>
      <c r="AD415" s="24">
        <f>15.2-2.4</f>
        <v>12.799999999999999</v>
      </c>
      <c r="AE415" s="24">
        <f>15.2+2.4</f>
        <v>17.599999999999998</v>
      </c>
      <c r="AF415" s="24"/>
      <c r="AG415" s="351"/>
      <c r="AH415" s="351"/>
      <c r="AI415" s="403" t="s">
        <v>2469</v>
      </c>
      <c r="AJ415" s="103"/>
      <c r="AK415" s="103"/>
      <c r="AL415" s="351"/>
      <c r="AM415" s="351"/>
      <c r="AN415" s="46" t="s">
        <v>2561</v>
      </c>
      <c r="AO415" s="46" t="s">
        <v>2560</v>
      </c>
      <c r="AP415" s="46" t="s">
        <v>2405</v>
      </c>
      <c r="AQ415" s="46" t="s">
        <v>37</v>
      </c>
      <c r="AR415" s="47">
        <v>44125</v>
      </c>
      <c r="AS415" s="46" t="s">
        <v>37</v>
      </c>
      <c r="AT415" s="365"/>
      <c r="AU415" s="1107"/>
    </row>
    <row r="416" spans="1:47" ht="54" x14ac:dyDescent="0.25">
      <c r="A416" s="488"/>
      <c r="B416" s="131"/>
      <c r="C416" s="75"/>
      <c r="D416" s="568"/>
      <c r="E416" s="568"/>
      <c r="F416" s="75"/>
      <c r="G416" s="143"/>
      <c r="H416" s="118"/>
      <c r="I416" s="131"/>
      <c r="J416" s="188">
        <v>330</v>
      </c>
      <c r="K416" s="1059" t="s">
        <v>2281</v>
      </c>
      <c r="L416" s="915">
        <v>1364473.0909</v>
      </c>
      <c r="M416" s="915">
        <v>5112400.1646999996</v>
      </c>
      <c r="N416" s="118"/>
      <c r="O416" s="118" t="s">
        <v>2482</v>
      </c>
      <c r="P416" s="75" t="s">
        <v>193</v>
      </c>
      <c r="Q416" s="118"/>
      <c r="R416" s="118"/>
      <c r="S416" s="118"/>
      <c r="T416" s="601" t="s">
        <v>2664</v>
      </c>
      <c r="U416" s="24" t="s">
        <v>10</v>
      </c>
      <c r="V416" s="24" t="s">
        <v>10</v>
      </c>
      <c r="W416" s="24" t="s">
        <v>10</v>
      </c>
      <c r="X416" s="24" t="s">
        <v>193</v>
      </c>
      <c r="Y416" s="24" t="s">
        <v>2505</v>
      </c>
      <c r="Z416" s="46" t="s">
        <v>2468</v>
      </c>
      <c r="AA416" s="24">
        <v>1</v>
      </c>
      <c r="AB416" s="24" t="s">
        <v>2462</v>
      </c>
      <c r="AC416" s="24">
        <v>26.5</v>
      </c>
      <c r="AD416" s="24">
        <f t="shared" ref="AD416:AD422" si="6">26.5-4</f>
        <v>22.5</v>
      </c>
      <c r="AE416" s="24">
        <f t="shared" ref="AE416:AE422" si="7">26.5+4</f>
        <v>30.5</v>
      </c>
      <c r="AF416" s="24"/>
      <c r="AG416" s="351"/>
      <c r="AH416" s="351"/>
      <c r="AI416" s="403" t="s">
        <v>2469</v>
      </c>
      <c r="AJ416" s="103"/>
      <c r="AK416" s="103"/>
      <c r="AL416" s="351"/>
      <c r="AM416" s="351"/>
      <c r="AN416" s="46" t="s">
        <v>2561</v>
      </c>
      <c r="AO416" s="46" t="s">
        <v>2560</v>
      </c>
      <c r="AP416" s="46" t="s">
        <v>2405</v>
      </c>
      <c r="AQ416" s="46" t="s">
        <v>37</v>
      </c>
      <c r="AR416" s="47">
        <v>44125</v>
      </c>
      <c r="AS416" s="46" t="s">
        <v>37</v>
      </c>
      <c r="AT416" s="365"/>
      <c r="AU416" s="1107"/>
    </row>
    <row r="417" spans="1:47" ht="54" x14ac:dyDescent="0.25">
      <c r="A417" s="488"/>
      <c r="B417" s="131"/>
      <c r="C417" s="75"/>
      <c r="D417" s="568"/>
      <c r="E417" s="568"/>
      <c r="F417" s="75"/>
      <c r="G417" s="143"/>
      <c r="H417" s="118"/>
      <c r="I417" s="131"/>
      <c r="J417" s="188">
        <v>331</v>
      </c>
      <c r="K417" s="1059" t="s">
        <v>2282</v>
      </c>
      <c r="L417" s="915">
        <v>1364543.6036</v>
      </c>
      <c r="M417" s="915">
        <v>5112400.4627</v>
      </c>
      <c r="N417" s="118"/>
      <c r="O417" s="118" t="s">
        <v>2483</v>
      </c>
      <c r="P417" s="75" t="s">
        <v>193</v>
      </c>
      <c r="Q417" s="118"/>
      <c r="R417" s="118"/>
      <c r="S417" s="118"/>
      <c r="T417" s="601" t="s">
        <v>2665</v>
      </c>
      <c r="U417" s="24" t="s">
        <v>10</v>
      </c>
      <c r="V417" s="24" t="s">
        <v>10</v>
      </c>
      <c r="W417" s="24" t="s">
        <v>10</v>
      </c>
      <c r="X417" s="24" t="s">
        <v>193</v>
      </c>
      <c r="Y417" s="24" t="s">
        <v>2506</v>
      </c>
      <c r="Z417" s="46" t="s">
        <v>2468</v>
      </c>
      <c r="AA417" s="24">
        <v>1</v>
      </c>
      <c r="AB417" s="24" t="s">
        <v>2462</v>
      </c>
      <c r="AC417" s="24">
        <v>26.5</v>
      </c>
      <c r="AD417" s="24">
        <f t="shared" si="6"/>
        <v>22.5</v>
      </c>
      <c r="AE417" s="24">
        <f t="shared" si="7"/>
        <v>30.5</v>
      </c>
      <c r="AF417" s="24"/>
      <c r="AG417" s="351"/>
      <c r="AH417" s="351"/>
      <c r="AI417" s="403" t="s">
        <v>2469</v>
      </c>
      <c r="AJ417" s="103"/>
      <c r="AK417" s="103"/>
      <c r="AL417" s="351"/>
      <c r="AM417" s="351"/>
      <c r="AN417" s="46" t="s">
        <v>2561</v>
      </c>
      <c r="AO417" s="46" t="s">
        <v>2560</v>
      </c>
      <c r="AP417" s="46" t="s">
        <v>2405</v>
      </c>
      <c r="AQ417" s="46" t="s">
        <v>37</v>
      </c>
      <c r="AR417" s="47">
        <v>44125</v>
      </c>
      <c r="AS417" s="46" t="s">
        <v>37</v>
      </c>
      <c r="AT417" s="365"/>
      <c r="AU417" s="1107"/>
    </row>
    <row r="418" spans="1:47" ht="54" x14ac:dyDescent="0.25">
      <c r="A418" s="488"/>
      <c r="B418" s="131"/>
      <c r="C418" s="75"/>
      <c r="D418" s="568"/>
      <c r="E418" s="568"/>
      <c r="F418" s="75"/>
      <c r="G418" s="143"/>
      <c r="H418" s="118"/>
      <c r="I418" s="131"/>
      <c r="J418" s="188">
        <v>332</v>
      </c>
      <c r="K418" s="1059" t="s">
        <v>2283</v>
      </c>
      <c r="L418" s="915">
        <v>1364581.6642</v>
      </c>
      <c r="M418" s="915">
        <v>5112411.8333000001</v>
      </c>
      <c r="N418" s="118"/>
      <c r="O418" s="118" t="s">
        <v>2410</v>
      </c>
      <c r="P418" s="75" t="s">
        <v>193</v>
      </c>
      <c r="Q418" s="118"/>
      <c r="R418" s="118"/>
      <c r="S418" s="118"/>
      <c r="T418" s="601" t="s">
        <v>2638</v>
      </c>
      <c r="U418" s="24" t="s">
        <v>10</v>
      </c>
      <c r="V418" s="24" t="s">
        <v>10</v>
      </c>
      <c r="W418" s="24" t="s">
        <v>10</v>
      </c>
      <c r="X418" s="24" t="s">
        <v>193</v>
      </c>
      <c r="Y418" s="24" t="s">
        <v>2507</v>
      </c>
      <c r="Z418" s="46" t="s">
        <v>2468</v>
      </c>
      <c r="AA418" s="24">
        <v>1</v>
      </c>
      <c r="AB418" s="24" t="s">
        <v>2462</v>
      </c>
      <c r="AC418" s="24">
        <v>26.5</v>
      </c>
      <c r="AD418" s="24">
        <f t="shared" si="6"/>
        <v>22.5</v>
      </c>
      <c r="AE418" s="24">
        <f t="shared" si="7"/>
        <v>30.5</v>
      </c>
      <c r="AF418" s="24"/>
      <c r="AG418" s="351"/>
      <c r="AH418" s="351"/>
      <c r="AI418" s="403" t="s">
        <v>2469</v>
      </c>
      <c r="AJ418" s="103"/>
      <c r="AK418" s="103"/>
      <c r="AL418" s="351"/>
      <c r="AM418" s="351"/>
      <c r="AN418" s="46" t="s">
        <v>2561</v>
      </c>
      <c r="AO418" s="46" t="s">
        <v>2560</v>
      </c>
      <c r="AP418" s="46" t="s">
        <v>2405</v>
      </c>
      <c r="AQ418" s="46" t="s">
        <v>37</v>
      </c>
      <c r="AR418" s="47">
        <v>44125</v>
      </c>
      <c r="AS418" s="46" t="s">
        <v>37</v>
      </c>
      <c r="AT418" s="365"/>
      <c r="AU418" s="1107"/>
    </row>
    <row r="419" spans="1:47" ht="54" x14ac:dyDescent="0.25">
      <c r="A419" s="488"/>
      <c r="B419" s="131"/>
      <c r="C419" s="75"/>
      <c r="D419" s="568"/>
      <c r="E419" s="568"/>
      <c r="F419" s="75"/>
      <c r="G419" s="143"/>
      <c r="H419" s="118"/>
      <c r="I419" s="131"/>
      <c r="J419" s="188">
        <v>333</v>
      </c>
      <c r="K419" s="1059" t="s">
        <v>2284</v>
      </c>
      <c r="L419" s="915">
        <v>1364775.0586000001</v>
      </c>
      <c r="M419" s="915">
        <v>5112628.9452</v>
      </c>
      <c r="N419" s="118"/>
      <c r="O419" s="118" t="s">
        <v>2484</v>
      </c>
      <c r="P419" s="75" t="s">
        <v>193</v>
      </c>
      <c r="Q419" s="118"/>
      <c r="R419" s="118"/>
      <c r="S419" s="118"/>
      <c r="T419" s="601" t="s">
        <v>2666</v>
      </c>
      <c r="U419" s="24" t="s">
        <v>10</v>
      </c>
      <c r="V419" s="24" t="s">
        <v>10</v>
      </c>
      <c r="W419" s="24" t="s">
        <v>10</v>
      </c>
      <c r="X419" s="24" t="s">
        <v>193</v>
      </c>
      <c r="Y419" s="24" t="s">
        <v>2508</v>
      </c>
      <c r="Z419" s="46" t="s">
        <v>2468</v>
      </c>
      <c r="AA419" s="24">
        <v>1</v>
      </c>
      <c r="AB419" s="24" t="s">
        <v>2462</v>
      </c>
      <c r="AC419" s="24">
        <v>26.5</v>
      </c>
      <c r="AD419" s="24">
        <f t="shared" si="6"/>
        <v>22.5</v>
      </c>
      <c r="AE419" s="24">
        <f t="shared" si="7"/>
        <v>30.5</v>
      </c>
      <c r="AF419" s="24"/>
      <c r="AG419" s="351"/>
      <c r="AH419" s="351"/>
      <c r="AI419" s="403" t="s">
        <v>2469</v>
      </c>
      <c r="AJ419" s="103"/>
      <c r="AK419" s="103"/>
      <c r="AL419" s="351"/>
      <c r="AM419" s="351"/>
      <c r="AN419" s="46" t="s">
        <v>2561</v>
      </c>
      <c r="AO419" s="46" t="s">
        <v>2560</v>
      </c>
      <c r="AP419" s="46" t="s">
        <v>2405</v>
      </c>
      <c r="AQ419" s="46" t="s">
        <v>37</v>
      </c>
      <c r="AR419" s="47">
        <v>44125</v>
      </c>
      <c r="AS419" s="46" t="s">
        <v>37</v>
      </c>
      <c r="AT419" s="365"/>
      <c r="AU419" s="1107"/>
    </row>
    <row r="420" spans="1:47" ht="54" x14ac:dyDescent="0.25">
      <c r="A420" s="488"/>
      <c r="B420" s="131"/>
      <c r="C420" s="75"/>
      <c r="D420" s="568"/>
      <c r="E420" s="568"/>
      <c r="F420" s="75"/>
      <c r="G420" s="143"/>
      <c r="H420" s="118"/>
      <c r="I420" s="131"/>
      <c r="J420" s="188">
        <v>334</v>
      </c>
      <c r="K420" s="1059" t="s">
        <v>2285</v>
      </c>
      <c r="L420" s="915">
        <v>1364758.8058</v>
      </c>
      <c r="M420" s="915">
        <v>5112612.7942000004</v>
      </c>
      <c r="N420" s="118"/>
      <c r="O420" s="118" t="s">
        <v>2484</v>
      </c>
      <c r="P420" s="75" t="s">
        <v>193</v>
      </c>
      <c r="Q420" s="118"/>
      <c r="R420" s="118"/>
      <c r="S420" s="118"/>
      <c r="T420" s="601" t="s">
        <v>2666</v>
      </c>
      <c r="U420" s="24" t="s">
        <v>10</v>
      </c>
      <c r="V420" s="24" t="s">
        <v>10</v>
      </c>
      <c r="W420" s="24" t="s">
        <v>10</v>
      </c>
      <c r="X420" s="24" t="s">
        <v>193</v>
      </c>
      <c r="Y420" s="24" t="s">
        <v>2509</v>
      </c>
      <c r="Z420" s="46" t="s">
        <v>2468</v>
      </c>
      <c r="AA420" s="24">
        <v>1</v>
      </c>
      <c r="AB420" s="24" t="s">
        <v>2462</v>
      </c>
      <c r="AC420" s="24">
        <v>26.5</v>
      </c>
      <c r="AD420" s="24">
        <f t="shared" si="6"/>
        <v>22.5</v>
      </c>
      <c r="AE420" s="24">
        <f t="shared" si="7"/>
        <v>30.5</v>
      </c>
      <c r="AF420" s="24"/>
      <c r="AG420" s="351"/>
      <c r="AH420" s="351"/>
      <c r="AI420" s="403" t="s">
        <v>2469</v>
      </c>
      <c r="AJ420" s="103"/>
      <c r="AK420" s="103"/>
      <c r="AL420" s="351"/>
      <c r="AM420" s="351"/>
      <c r="AN420" s="46" t="s">
        <v>2561</v>
      </c>
      <c r="AO420" s="46" t="s">
        <v>2560</v>
      </c>
      <c r="AP420" s="46" t="s">
        <v>2405</v>
      </c>
      <c r="AQ420" s="46" t="s">
        <v>37</v>
      </c>
      <c r="AR420" s="47">
        <v>44125</v>
      </c>
      <c r="AS420" s="46" t="s">
        <v>37</v>
      </c>
      <c r="AT420" s="365"/>
      <c r="AU420" s="1107"/>
    </row>
    <row r="421" spans="1:47" ht="54" x14ac:dyDescent="0.25">
      <c r="A421" s="488"/>
      <c r="B421" s="131"/>
      <c r="C421" s="75"/>
      <c r="D421" s="568"/>
      <c r="E421" s="568"/>
      <c r="F421" s="75"/>
      <c r="G421" s="143"/>
      <c r="H421" s="118"/>
      <c r="I421" s="131"/>
      <c r="J421" s="188">
        <v>335</v>
      </c>
      <c r="K421" s="1059" t="s">
        <v>2286</v>
      </c>
      <c r="L421" s="915">
        <v>1364790.8557</v>
      </c>
      <c r="M421" s="915">
        <v>5112725.1556000002</v>
      </c>
      <c r="N421" s="118"/>
      <c r="O421" s="118" t="s">
        <v>2485</v>
      </c>
      <c r="P421" s="75" t="s">
        <v>193</v>
      </c>
      <c r="Q421" s="118"/>
      <c r="R421" s="118"/>
      <c r="S421" s="118"/>
      <c r="T421" s="601" t="s">
        <v>2667</v>
      </c>
      <c r="U421" s="24" t="s">
        <v>10</v>
      </c>
      <c r="V421" s="24" t="s">
        <v>10</v>
      </c>
      <c r="W421" s="24" t="s">
        <v>10</v>
      </c>
      <c r="X421" s="24" t="s">
        <v>193</v>
      </c>
      <c r="Y421" s="24" t="s">
        <v>2510</v>
      </c>
      <c r="Z421" s="46" t="s">
        <v>2468</v>
      </c>
      <c r="AA421" s="24">
        <v>1</v>
      </c>
      <c r="AB421" s="24" t="s">
        <v>2462</v>
      </c>
      <c r="AC421" s="24">
        <v>26.5</v>
      </c>
      <c r="AD421" s="24">
        <f t="shared" si="6"/>
        <v>22.5</v>
      </c>
      <c r="AE421" s="24">
        <f t="shared" si="7"/>
        <v>30.5</v>
      </c>
      <c r="AF421" s="24"/>
      <c r="AG421" s="351"/>
      <c r="AH421" s="351"/>
      <c r="AI421" s="403" t="s">
        <v>2469</v>
      </c>
      <c r="AJ421" s="103"/>
      <c r="AK421" s="103"/>
      <c r="AL421" s="351"/>
      <c r="AM421" s="351"/>
      <c r="AN421" s="46" t="s">
        <v>2561</v>
      </c>
      <c r="AO421" s="46" t="s">
        <v>2560</v>
      </c>
      <c r="AP421" s="46" t="s">
        <v>2405</v>
      </c>
      <c r="AQ421" s="46" t="s">
        <v>37</v>
      </c>
      <c r="AR421" s="47">
        <v>44125</v>
      </c>
      <c r="AS421" s="46" t="s">
        <v>37</v>
      </c>
      <c r="AT421" s="365"/>
      <c r="AU421" s="1107"/>
    </row>
    <row r="422" spans="1:47" ht="54" x14ac:dyDescent="0.25">
      <c r="A422" s="488"/>
      <c r="B422" s="131"/>
      <c r="C422" s="75"/>
      <c r="D422" s="568"/>
      <c r="E422" s="568"/>
      <c r="F422" s="75"/>
      <c r="G422" s="143"/>
      <c r="H422" s="118"/>
      <c r="I422" s="131"/>
      <c r="J422" s="188">
        <v>336</v>
      </c>
      <c r="K422" s="1059" t="s">
        <v>2287</v>
      </c>
      <c r="L422" s="915">
        <v>1364809.8879</v>
      </c>
      <c r="M422" s="915">
        <v>5112798.1261</v>
      </c>
      <c r="N422" s="118"/>
      <c r="O422" s="118" t="s">
        <v>2417</v>
      </c>
      <c r="P422" s="75" t="s">
        <v>193</v>
      </c>
      <c r="Q422" s="118"/>
      <c r="R422" s="118"/>
      <c r="S422" s="118"/>
      <c r="T422" s="601" t="s">
        <v>2644</v>
      </c>
      <c r="U422" s="24" t="s">
        <v>10</v>
      </c>
      <c r="V422" s="24" t="s">
        <v>10</v>
      </c>
      <c r="W422" s="24" t="s">
        <v>10</v>
      </c>
      <c r="X422" s="24" t="s">
        <v>193</v>
      </c>
      <c r="Y422" s="24" t="s">
        <v>2511</v>
      </c>
      <c r="Z422" s="46" t="s">
        <v>2468</v>
      </c>
      <c r="AA422" s="24">
        <v>1</v>
      </c>
      <c r="AB422" s="24" t="s">
        <v>2462</v>
      </c>
      <c r="AC422" s="24">
        <v>26.5</v>
      </c>
      <c r="AD422" s="24">
        <f t="shared" si="6"/>
        <v>22.5</v>
      </c>
      <c r="AE422" s="24">
        <f t="shared" si="7"/>
        <v>30.5</v>
      </c>
      <c r="AF422" s="24"/>
      <c r="AG422" s="351"/>
      <c r="AH422" s="351"/>
      <c r="AI422" s="403" t="s">
        <v>2469</v>
      </c>
      <c r="AJ422" s="103"/>
      <c r="AK422" s="103"/>
      <c r="AL422" s="351"/>
      <c r="AM422" s="351"/>
      <c r="AN422" s="46" t="s">
        <v>2561</v>
      </c>
      <c r="AO422" s="46" t="s">
        <v>2560</v>
      </c>
      <c r="AP422" s="46" t="s">
        <v>2405</v>
      </c>
      <c r="AQ422" s="46" t="s">
        <v>37</v>
      </c>
      <c r="AR422" s="47">
        <v>44125</v>
      </c>
      <c r="AS422" s="46" t="s">
        <v>37</v>
      </c>
      <c r="AT422" s="365"/>
      <c r="AU422" s="1107"/>
    </row>
    <row r="423" spans="1:47" ht="54" x14ac:dyDescent="0.25">
      <c r="A423" s="488"/>
      <c r="B423" s="131"/>
      <c r="C423" s="75"/>
      <c r="D423" s="568"/>
      <c r="E423" s="568"/>
      <c r="F423" s="75"/>
      <c r="G423" s="143"/>
      <c r="H423" s="118"/>
      <c r="I423" s="131"/>
      <c r="J423" s="188">
        <v>337</v>
      </c>
      <c r="K423" s="1059" t="s">
        <v>2288</v>
      </c>
      <c r="L423" s="915">
        <v>1364320.3126999999</v>
      </c>
      <c r="M423" s="915">
        <v>5112280.1435000002</v>
      </c>
      <c r="N423" s="118"/>
      <c r="O423" s="118" t="s">
        <v>2486</v>
      </c>
      <c r="P423" s="75" t="s">
        <v>193</v>
      </c>
      <c r="Q423" s="118"/>
      <c r="R423" s="118"/>
      <c r="S423" s="118"/>
      <c r="T423" s="601" t="s">
        <v>2668</v>
      </c>
      <c r="U423" s="24" t="s">
        <v>10</v>
      </c>
      <c r="V423" s="24" t="s">
        <v>10</v>
      </c>
      <c r="W423" s="24" t="s">
        <v>10</v>
      </c>
      <c r="X423" s="24" t="s">
        <v>193</v>
      </c>
      <c r="Y423" s="24" t="s">
        <v>2512</v>
      </c>
      <c r="Z423" s="46" t="s">
        <v>2468</v>
      </c>
      <c r="AA423" s="24">
        <v>1</v>
      </c>
      <c r="AB423" s="24" t="s">
        <v>2461</v>
      </c>
      <c r="AC423" s="24">
        <v>15.2</v>
      </c>
      <c r="AD423" s="24">
        <f>15.2-2.4</f>
        <v>12.799999999999999</v>
      </c>
      <c r="AE423" s="24">
        <f>15.2+2.4</f>
        <v>17.599999999999998</v>
      </c>
      <c r="AF423" s="24"/>
      <c r="AG423" s="351"/>
      <c r="AH423" s="351"/>
      <c r="AI423" s="403" t="s">
        <v>2469</v>
      </c>
      <c r="AJ423" s="103"/>
      <c r="AK423" s="103"/>
      <c r="AL423" s="351"/>
      <c r="AM423" s="351"/>
      <c r="AN423" s="46" t="s">
        <v>2561</v>
      </c>
      <c r="AO423" s="46" t="s">
        <v>2560</v>
      </c>
      <c r="AP423" s="46" t="s">
        <v>2405</v>
      </c>
      <c r="AQ423" s="46" t="s">
        <v>37</v>
      </c>
      <c r="AR423" s="47">
        <v>44125</v>
      </c>
      <c r="AS423" s="46" t="s">
        <v>37</v>
      </c>
      <c r="AT423" s="365"/>
      <c r="AU423" s="1107"/>
    </row>
    <row r="424" spans="1:47" ht="54" x14ac:dyDescent="0.25">
      <c r="A424" s="488"/>
      <c r="B424" s="131"/>
      <c r="C424" s="75"/>
      <c r="D424" s="568"/>
      <c r="E424" s="568"/>
      <c r="F424" s="75"/>
      <c r="G424" s="143"/>
      <c r="H424" s="118"/>
      <c r="I424" s="131"/>
      <c r="J424" s="188">
        <v>338</v>
      </c>
      <c r="K424" s="1059" t="s">
        <v>2289</v>
      </c>
      <c r="L424" s="915">
        <v>1364137.9049</v>
      </c>
      <c r="M424" s="915">
        <v>5112249.1426999997</v>
      </c>
      <c r="N424" s="118"/>
      <c r="O424" s="118" t="s">
        <v>2487</v>
      </c>
      <c r="P424" s="75" t="s">
        <v>193</v>
      </c>
      <c r="Q424" s="118"/>
      <c r="R424" s="118"/>
      <c r="S424" s="118"/>
      <c r="T424" s="601" t="s">
        <v>2669</v>
      </c>
      <c r="U424" s="24" t="s">
        <v>10</v>
      </c>
      <c r="V424" s="24" t="s">
        <v>10</v>
      </c>
      <c r="W424" s="24" t="s">
        <v>10</v>
      </c>
      <c r="X424" s="24" t="s">
        <v>193</v>
      </c>
      <c r="Y424" s="24" t="s">
        <v>2513</v>
      </c>
      <c r="Z424" s="46" t="s">
        <v>2468</v>
      </c>
      <c r="AA424" s="24">
        <v>1</v>
      </c>
      <c r="AB424" s="24" t="s">
        <v>2461</v>
      </c>
      <c r="AC424" s="24">
        <v>15.2</v>
      </c>
      <c r="AD424" s="24">
        <f>15.2-2.4</f>
        <v>12.799999999999999</v>
      </c>
      <c r="AE424" s="24">
        <f>15.2+2.4</f>
        <v>17.599999999999998</v>
      </c>
      <c r="AF424" s="24"/>
      <c r="AG424" s="351"/>
      <c r="AH424" s="351"/>
      <c r="AI424" s="403" t="s">
        <v>2469</v>
      </c>
      <c r="AJ424" s="103"/>
      <c r="AK424" s="103"/>
      <c r="AL424" s="351"/>
      <c r="AM424" s="351"/>
      <c r="AN424" s="46" t="s">
        <v>2561</v>
      </c>
      <c r="AO424" s="46" t="s">
        <v>2560</v>
      </c>
      <c r="AP424" s="46" t="s">
        <v>2405</v>
      </c>
      <c r="AQ424" s="46" t="s">
        <v>37</v>
      </c>
      <c r="AR424" s="47">
        <v>44125</v>
      </c>
      <c r="AS424" s="46" t="s">
        <v>37</v>
      </c>
      <c r="AT424" s="365"/>
      <c r="AU424" s="1107"/>
    </row>
    <row r="425" spans="1:47" ht="54" x14ac:dyDescent="0.25">
      <c r="A425" s="488"/>
      <c r="B425" s="131"/>
      <c r="C425" s="75"/>
      <c r="D425" s="568"/>
      <c r="E425" s="568"/>
      <c r="F425" s="75"/>
      <c r="G425" s="143"/>
      <c r="H425" s="118"/>
      <c r="I425" s="131"/>
      <c r="J425" s="188">
        <v>339</v>
      </c>
      <c r="K425" s="1059" t="s">
        <v>2290</v>
      </c>
      <c r="L425" s="915">
        <v>1364094.7607</v>
      </c>
      <c r="M425" s="915">
        <v>5112223.1288999999</v>
      </c>
      <c r="N425" s="118"/>
      <c r="O425" s="118" t="s">
        <v>2488</v>
      </c>
      <c r="P425" s="75" t="s">
        <v>193</v>
      </c>
      <c r="Q425" s="118"/>
      <c r="R425" s="118"/>
      <c r="S425" s="118"/>
      <c r="T425" s="601" t="s">
        <v>2670</v>
      </c>
      <c r="U425" s="24" t="s">
        <v>10</v>
      </c>
      <c r="V425" s="24" t="s">
        <v>10</v>
      </c>
      <c r="W425" s="24" t="s">
        <v>10</v>
      </c>
      <c r="X425" s="24" t="s">
        <v>193</v>
      </c>
      <c r="Y425" s="24" t="s">
        <v>2514</v>
      </c>
      <c r="Z425" s="46" t="s">
        <v>2468</v>
      </c>
      <c r="AA425" s="24">
        <v>1</v>
      </c>
      <c r="AB425" s="24" t="s">
        <v>2461</v>
      </c>
      <c r="AC425" s="24">
        <v>15.2</v>
      </c>
      <c r="AD425" s="24">
        <f>15.2-2.4</f>
        <v>12.799999999999999</v>
      </c>
      <c r="AE425" s="24">
        <f>15.2+2.4</f>
        <v>17.599999999999998</v>
      </c>
      <c r="AF425" s="24"/>
      <c r="AG425" s="351"/>
      <c r="AH425" s="351"/>
      <c r="AI425" s="403" t="s">
        <v>2469</v>
      </c>
      <c r="AJ425" s="103"/>
      <c r="AK425" s="103"/>
      <c r="AL425" s="351"/>
      <c r="AM425" s="351"/>
      <c r="AN425" s="46" t="s">
        <v>2561</v>
      </c>
      <c r="AO425" s="46" t="s">
        <v>2560</v>
      </c>
      <c r="AP425" s="46" t="s">
        <v>2405</v>
      </c>
      <c r="AQ425" s="46" t="s">
        <v>37</v>
      </c>
      <c r="AR425" s="47">
        <v>44125</v>
      </c>
      <c r="AS425" s="46" t="s">
        <v>37</v>
      </c>
      <c r="AT425" s="365"/>
      <c r="AU425" s="1107"/>
    </row>
    <row r="426" spans="1:47" ht="54" x14ac:dyDescent="0.25">
      <c r="A426" s="488"/>
      <c r="B426" s="131"/>
      <c r="C426" s="75"/>
      <c r="D426" s="568"/>
      <c r="E426" s="568"/>
      <c r="F426" s="75"/>
      <c r="G426" s="143"/>
      <c r="H426" s="118"/>
      <c r="I426" s="131"/>
      <c r="J426" s="188">
        <v>340</v>
      </c>
      <c r="K426" s="1059" t="s">
        <v>2291</v>
      </c>
      <c r="L426" s="915">
        <v>1364007.1791999999</v>
      </c>
      <c r="M426" s="915">
        <v>5112318.9731999999</v>
      </c>
      <c r="N426" s="118"/>
      <c r="O426" s="118" t="s">
        <v>2489</v>
      </c>
      <c r="P426" s="75" t="s">
        <v>193</v>
      </c>
      <c r="Q426" s="118"/>
      <c r="R426" s="118"/>
      <c r="S426" s="118"/>
      <c r="T426" s="601" t="s">
        <v>2671</v>
      </c>
      <c r="U426" s="24" t="s">
        <v>10</v>
      </c>
      <c r="V426" s="24" t="s">
        <v>10</v>
      </c>
      <c r="W426" s="24" t="s">
        <v>10</v>
      </c>
      <c r="X426" s="24" t="s">
        <v>193</v>
      </c>
      <c r="Y426" s="24" t="s">
        <v>2515</v>
      </c>
      <c r="Z426" s="46" t="s">
        <v>2468</v>
      </c>
      <c r="AA426" s="24">
        <v>1</v>
      </c>
      <c r="AB426" s="24" t="s">
        <v>2461</v>
      </c>
      <c r="AC426" s="24">
        <v>15.2</v>
      </c>
      <c r="AD426" s="24">
        <f>15.2-2.4</f>
        <v>12.799999999999999</v>
      </c>
      <c r="AE426" s="24">
        <f>15.2+2.4</f>
        <v>17.599999999999998</v>
      </c>
      <c r="AF426" s="24"/>
      <c r="AG426" s="351"/>
      <c r="AH426" s="351"/>
      <c r="AI426" s="403" t="s">
        <v>2469</v>
      </c>
      <c r="AJ426" s="103"/>
      <c r="AK426" s="103"/>
      <c r="AL426" s="351"/>
      <c r="AM426" s="351"/>
      <c r="AN426" s="46" t="s">
        <v>2561</v>
      </c>
      <c r="AO426" s="46" t="s">
        <v>2560</v>
      </c>
      <c r="AP426" s="46" t="s">
        <v>2405</v>
      </c>
      <c r="AQ426" s="46" t="s">
        <v>37</v>
      </c>
      <c r="AR426" s="47">
        <v>44125</v>
      </c>
      <c r="AS426" s="46" t="s">
        <v>37</v>
      </c>
      <c r="AT426" s="365"/>
      <c r="AU426" s="1107"/>
    </row>
    <row r="427" spans="1:47" ht="54" x14ac:dyDescent="0.25">
      <c r="A427" s="488"/>
      <c r="B427" s="131"/>
      <c r="C427" s="75"/>
      <c r="D427" s="568"/>
      <c r="E427" s="568"/>
      <c r="F427" s="75"/>
      <c r="G427" s="143"/>
      <c r="H427" s="118"/>
      <c r="I427" s="131"/>
      <c r="J427" s="188">
        <v>341</v>
      </c>
      <c r="K427" s="1059" t="s">
        <v>2292</v>
      </c>
      <c r="L427" s="915">
        <v>1363632.3640000001</v>
      </c>
      <c r="M427" s="915">
        <v>5112289.9554000003</v>
      </c>
      <c r="N427" s="118"/>
      <c r="O427" s="118" t="s">
        <v>2490</v>
      </c>
      <c r="P427" s="75" t="s">
        <v>193</v>
      </c>
      <c r="Q427" s="118"/>
      <c r="R427" s="118"/>
      <c r="S427" s="118"/>
      <c r="T427" s="601" t="s">
        <v>2672</v>
      </c>
      <c r="U427" s="24" t="s">
        <v>10</v>
      </c>
      <c r="V427" s="24" t="s">
        <v>10</v>
      </c>
      <c r="W427" s="24" t="s">
        <v>10</v>
      </c>
      <c r="X427" s="24" t="s">
        <v>193</v>
      </c>
      <c r="Y427" s="24" t="s">
        <v>2516</v>
      </c>
      <c r="Z427" s="46" t="s">
        <v>2468</v>
      </c>
      <c r="AA427" s="24">
        <v>1</v>
      </c>
      <c r="AB427" s="24" t="s">
        <v>2462</v>
      </c>
      <c r="AC427" s="24">
        <v>26.5</v>
      </c>
      <c r="AD427" s="24">
        <f>26.5-4</f>
        <v>22.5</v>
      </c>
      <c r="AE427" s="24">
        <f>26.5+4</f>
        <v>30.5</v>
      </c>
      <c r="AF427" s="24"/>
      <c r="AG427" s="351"/>
      <c r="AH427" s="351"/>
      <c r="AI427" s="45" t="s">
        <v>256</v>
      </c>
      <c r="AJ427" s="103"/>
      <c r="AK427" s="103"/>
      <c r="AL427" s="351"/>
      <c r="AM427" s="351"/>
      <c r="AN427" s="46" t="s">
        <v>2561</v>
      </c>
      <c r="AO427" s="46" t="s">
        <v>2472</v>
      </c>
      <c r="AP427" s="46" t="s">
        <v>2405</v>
      </c>
      <c r="AQ427" s="46" t="s">
        <v>37</v>
      </c>
      <c r="AR427" s="47">
        <v>44125</v>
      </c>
      <c r="AS427" s="46" t="s">
        <v>37</v>
      </c>
      <c r="AT427" s="365"/>
      <c r="AU427" s="1107"/>
    </row>
    <row r="428" spans="1:47" ht="54" x14ac:dyDescent="0.25">
      <c r="A428" s="488"/>
      <c r="B428" s="131"/>
      <c r="C428" s="75"/>
      <c r="D428" s="568"/>
      <c r="E428" s="568"/>
      <c r="F428" s="75"/>
      <c r="G428" s="143"/>
      <c r="H428" s="118"/>
      <c r="I428" s="131"/>
      <c r="J428" s="188">
        <v>342</v>
      </c>
      <c r="K428" s="1059" t="s">
        <v>2293</v>
      </c>
      <c r="L428" s="915">
        <v>1363567.2474</v>
      </c>
      <c r="M428" s="915">
        <v>5112228.6716</v>
      </c>
      <c r="N428" s="118"/>
      <c r="O428" s="118" t="s">
        <v>2491</v>
      </c>
      <c r="P428" s="75" t="s">
        <v>193</v>
      </c>
      <c r="Q428" s="118"/>
      <c r="R428" s="118"/>
      <c r="S428" s="118"/>
      <c r="T428" s="601" t="s">
        <v>2673</v>
      </c>
      <c r="U428" s="24" t="s">
        <v>10</v>
      </c>
      <c r="V428" s="24" t="s">
        <v>10</v>
      </c>
      <c r="W428" s="24" t="s">
        <v>10</v>
      </c>
      <c r="X428" s="24" t="s">
        <v>193</v>
      </c>
      <c r="Y428" s="24" t="s">
        <v>2517</v>
      </c>
      <c r="Z428" s="46" t="s">
        <v>2468</v>
      </c>
      <c r="AA428" s="24">
        <v>1</v>
      </c>
      <c r="AB428" s="24" t="s">
        <v>2461</v>
      </c>
      <c r="AC428" s="24">
        <v>15.2</v>
      </c>
      <c r="AD428" s="24">
        <f>15.2-2.4</f>
        <v>12.799999999999999</v>
      </c>
      <c r="AE428" s="24">
        <f>15.2+2.4</f>
        <v>17.599999999999998</v>
      </c>
      <c r="AF428" s="24"/>
      <c r="AG428" s="351"/>
      <c r="AH428" s="351"/>
      <c r="AI428" s="45" t="s">
        <v>256</v>
      </c>
      <c r="AJ428" s="103"/>
      <c r="AK428" s="103"/>
      <c r="AL428" s="351"/>
      <c r="AM428" s="351"/>
      <c r="AN428" s="46" t="s">
        <v>2561</v>
      </c>
      <c r="AO428" s="46" t="s">
        <v>2472</v>
      </c>
      <c r="AP428" s="46" t="s">
        <v>2405</v>
      </c>
      <c r="AQ428" s="46" t="s">
        <v>37</v>
      </c>
      <c r="AR428" s="47">
        <v>44125</v>
      </c>
      <c r="AS428" s="46" t="s">
        <v>37</v>
      </c>
      <c r="AT428" s="365"/>
      <c r="AU428" s="1107"/>
    </row>
    <row r="429" spans="1:47" ht="54" x14ac:dyDescent="0.25">
      <c r="A429" s="488"/>
      <c r="B429" s="131"/>
      <c r="C429" s="75"/>
      <c r="D429" s="568"/>
      <c r="E429" s="568"/>
      <c r="F429" s="75"/>
      <c r="G429" s="143"/>
      <c r="H429" s="118"/>
      <c r="I429" s="131"/>
      <c r="J429" s="188">
        <v>343</v>
      </c>
      <c r="K429" s="1059" t="s">
        <v>2294</v>
      </c>
      <c r="L429" s="915">
        <v>1363559.1216</v>
      </c>
      <c r="M429" s="915">
        <v>5112209.4726999998</v>
      </c>
      <c r="N429" s="118"/>
      <c r="O429" s="118" t="s">
        <v>2502</v>
      </c>
      <c r="P429" s="75" t="s">
        <v>193</v>
      </c>
      <c r="Q429" s="118"/>
      <c r="R429" s="118"/>
      <c r="S429" s="118"/>
      <c r="T429" s="601" t="s">
        <v>2674</v>
      </c>
      <c r="U429" s="24" t="s">
        <v>10</v>
      </c>
      <c r="V429" s="24" t="s">
        <v>10</v>
      </c>
      <c r="W429" s="24" t="s">
        <v>10</v>
      </c>
      <c r="X429" s="24" t="s">
        <v>193</v>
      </c>
      <c r="Y429" s="24" t="s">
        <v>2518</v>
      </c>
      <c r="Z429" s="46" t="s">
        <v>2468</v>
      </c>
      <c r="AA429" s="24">
        <v>1</v>
      </c>
      <c r="AB429" s="24" t="s">
        <v>2461</v>
      </c>
      <c r="AC429" s="24">
        <v>15.2</v>
      </c>
      <c r="AD429" s="24">
        <f>15.2-2.4</f>
        <v>12.799999999999999</v>
      </c>
      <c r="AE429" s="24">
        <f>15.2+2.4</f>
        <v>17.599999999999998</v>
      </c>
      <c r="AF429" s="24"/>
      <c r="AG429" s="351"/>
      <c r="AH429" s="351"/>
      <c r="AI429" s="45" t="s">
        <v>256</v>
      </c>
      <c r="AJ429" s="103"/>
      <c r="AK429" s="103"/>
      <c r="AL429" s="351"/>
      <c r="AM429" s="351"/>
      <c r="AN429" s="46" t="s">
        <v>2561</v>
      </c>
      <c r="AO429" s="46" t="s">
        <v>2472</v>
      </c>
      <c r="AP429" s="46" t="s">
        <v>2405</v>
      </c>
      <c r="AQ429" s="46" t="s">
        <v>37</v>
      </c>
      <c r="AR429" s="47">
        <v>44125</v>
      </c>
      <c r="AS429" s="46" t="s">
        <v>37</v>
      </c>
      <c r="AT429" s="365"/>
      <c r="AU429" s="1107"/>
    </row>
    <row r="430" spans="1:47" ht="54" x14ac:dyDescent="0.25">
      <c r="A430" s="488"/>
      <c r="B430" s="131"/>
      <c r="C430" s="75"/>
      <c r="D430" s="568"/>
      <c r="E430" s="568"/>
      <c r="F430" s="75"/>
      <c r="G430" s="143"/>
      <c r="H430" s="118"/>
      <c r="I430" s="131"/>
      <c r="J430" s="188">
        <v>344</v>
      </c>
      <c r="K430" s="1059" t="s">
        <v>2295</v>
      </c>
      <c r="L430" s="915">
        <v>1363402.3652999999</v>
      </c>
      <c r="M430" s="915">
        <v>5112133.773</v>
      </c>
      <c r="N430" s="118"/>
      <c r="O430" s="118" t="s">
        <v>2491</v>
      </c>
      <c r="P430" s="75" t="s">
        <v>193</v>
      </c>
      <c r="Q430" s="118"/>
      <c r="R430" s="118"/>
      <c r="S430" s="118"/>
      <c r="T430" s="601" t="s">
        <v>2673</v>
      </c>
      <c r="U430" s="24" t="s">
        <v>10</v>
      </c>
      <c r="V430" s="24" t="s">
        <v>10</v>
      </c>
      <c r="W430" s="24" t="s">
        <v>10</v>
      </c>
      <c r="X430" s="24" t="s">
        <v>193</v>
      </c>
      <c r="Y430" s="24" t="s">
        <v>2519</v>
      </c>
      <c r="Z430" s="46" t="s">
        <v>2468</v>
      </c>
      <c r="AA430" s="24">
        <v>1</v>
      </c>
      <c r="AB430" s="24" t="s">
        <v>2462</v>
      </c>
      <c r="AC430" s="24">
        <v>26.5</v>
      </c>
      <c r="AD430" s="24">
        <f>26.5-4</f>
        <v>22.5</v>
      </c>
      <c r="AE430" s="24">
        <f>26.5+4</f>
        <v>30.5</v>
      </c>
      <c r="AF430" s="24"/>
      <c r="AG430" s="351"/>
      <c r="AH430" s="351"/>
      <c r="AI430" s="45" t="s">
        <v>256</v>
      </c>
      <c r="AJ430" s="103"/>
      <c r="AK430" s="103"/>
      <c r="AL430" s="351"/>
      <c r="AM430" s="351"/>
      <c r="AN430" s="46" t="s">
        <v>2561</v>
      </c>
      <c r="AO430" s="46" t="s">
        <v>2472</v>
      </c>
      <c r="AP430" s="46" t="s">
        <v>2405</v>
      </c>
      <c r="AQ430" s="46" t="s">
        <v>37</v>
      </c>
      <c r="AR430" s="47">
        <v>44125</v>
      </c>
      <c r="AS430" s="46" t="s">
        <v>37</v>
      </c>
      <c r="AT430" s="365"/>
      <c r="AU430" s="1107"/>
    </row>
    <row r="431" spans="1:47" ht="54" x14ac:dyDescent="0.25">
      <c r="A431" s="488"/>
      <c r="B431" s="131"/>
      <c r="C431" s="75"/>
      <c r="D431" s="568"/>
      <c r="E431" s="568"/>
      <c r="F431" s="75"/>
      <c r="G431" s="143"/>
      <c r="H431" s="118"/>
      <c r="I431" s="131"/>
      <c r="J431" s="188">
        <v>345</v>
      </c>
      <c r="K431" s="1059" t="s">
        <v>2296</v>
      </c>
      <c r="L431" s="915">
        <v>1363288.754</v>
      </c>
      <c r="M431" s="915">
        <v>5112106.3328</v>
      </c>
      <c r="N431" s="118"/>
      <c r="O431" s="118" t="s">
        <v>2492</v>
      </c>
      <c r="P431" s="75" t="s">
        <v>193</v>
      </c>
      <c r="Q431" s="118"/>
      <c r="R431" s="118"/>
      <c r="S431" s="118"/>
      <c r="T431" s="601" t="s">
        <v>2675</v>
      </c>
      <c r="U431" s="24" t="s">
        <v>10</v>
      </c>
      <c r="V431" s="24" t="s">
        <v>10</v>
      </c>
      <c r="W431" s="24" t="s">
        <v>10</v>
      </c>
      <c r="X431" s="24" t="s">
        <v>193</v>
      </c>
      <c r="Y431" s="24" t="s">
        <v>2520</v>
      </c>
      <c r="Z431" s="46" t="s">
        <v>2468</v>
      </c>
      <c r="AA431" s="24">
        <v>1</v>
      </c>
      <c r="AB431" s="24" t="s">
        <v>2461</v>
      </c>
      <c r="AC431" s="24">
        <v>15.2</v>
      </c>
      <c r="AD431" s="24">
        <f t="shared" ref="AD431:AD458" si="8">15.2-2.4</f>
        <v>12.799999999999999</v>
      </c>
      <c r="AE431" s="24">
        <f t="shared" ref="AE431:AE458" si="9">15.2+2.4</f>
        <v>17.599999999999998</v>
      </c>
      <c r="AF431" s="24"/>
      <c r="AG431" s="351"/>
      <c r="AH431" s="351"/>
      <c r="AI431" s="45" t="s">
        <v>256</v>
      </c>
      <c r="AJ431" s="103"/>
      <c r="AK431" s="103"/>
      <c r="AL431" s="351"/>
      <c r="AM431" s="351"/>
      <c r="AN431" s="46" t="s">
        <v>2561</v>
      </c>
      <c r="AO431" s="46" t="s">
        <v>2472</v>
      </c>
      <c r="AP431" s="46" t="s">
        <v>2405</v>
      </c>
      <c r="AQ431" s="46" t="s">
        <v>37</v>
      </c>
      <c r="AR431" s="47">
        <v>44125</v>
      </c>
      <c r="AS431" s="46" t="s">
        <v>37</v>
      </c>
      <c r="AT431" s="365"/>
      <c r="AU431" s="1107"/>
    </row>
    <row r="432" spans="1:47" ht="54" x14ac:dyDescent="0.25">
      <c r="A432" s="488"/>
      <c r="B432" s="131"/>
      <c r="C432" s="75"/>
      <c r="D432" s="568"/>
      <c r="E432" s="568"/>
      <c r="F432" s="75"/>
      <c r="G432" s="143"/>
      <c r="H432" s="118"/>
      <c r="I432" s="131"/>
      <c r="J432" s="188">
        <v>346</v>
      </c>
      <c r="K432" s="1059" t="s">
        <v>2297</v>
      </c>
      <c r="L432" s="915">
        <v>1363280.1899000001</v>
      </c>
      <c r="M432" s="915">
        <v>5112099.3517000005</v>
      </c>
      <c r="N432" s="118"/>
      <c r="O432" s="118" t="s">
        <v>2493</v>
      </c>
      <c r="P432" s="75" t="s">
        <v>193</v>
      </c>
      <c r="Q432" s="118"/>
      <c r="R432" s="118"/>
      <c r="S432" s="118"/>
      <c r="T432" s="601" t="s">
        <v>2676</v>
      </c>
      <c r="U432" s="24" t="s">
        <v>10</v>
      </c>
      <c r="V432" s="24" t="s">
        <v>10</v>
      </c>
      <c r="W432" s="24" t="s">
        <v>10</v>
      </c>
      <c r="X432" s="24" t="s">
        <v>193</v>
      </c>
      <c r="Y432" s="24" t="s">
        <v>2521</v>
      </c>
      <c r="Z432" s="46" t="s">
        <v>2468</v>
      </c>
      <c r="AA432" s="24">
        <v>1</v>
      </c>
      <c r="AB432" s="24" t="s">
        <v>2461</v>
      </c>
      <c r="AC432" s="24">
        <v>15.2</v>
      </c>
      <c r="AD432" s="24">
        <f t="shared" si="8"/>
        <v>12.799999999999999</v>
      </c>
      <c r="AE432" s="24">
        <f t="shared" si="9"/>
        <v>17.599999999999998</v>
      </c>
      <c r="AF432" s="24"/>
      <c r="AG432" s="351"/>
      <c r="AH432" s="351"/>
      <c r="AI432" s="45" t="s">
        <v>256</v>
      </c>
      <c r="AJ432" s="103"/>
      <c r="AK432" s="103"/>
      <c r="AL432" s="351"/>
      <c r="AM432" s="351"/>
      <c r="AN432" s="46" t="s">
        <v>2561</v>
      </c>
      <c r="AO432" s="46" t="s">
        <v>2472</v>
      </c>
      <c r="AP432" s="46" t="s">
        <v>2405</v>
      </c>
      <c r="AQ432" s="46" t="s">
        <v>37</v>
      </c>
      <c r="AR432" s="47">
        <v>44125</v>
      </c>
      <c r="AS432" s="46" t="s">
        <v>37</v>
      </c>
      <c r="AT432" s="365"/>
      <c r="AU432" s="1107"/>
    </row>
    <row r="433" spans="1:47" ht="54" x14ac:dyDescent="0.25">
      <c r="A433" s="488"/>
      <c r="B433" s="131"/>
      <c r="C433" s="75"/>
      <c r="D433" s="568"/>
      <c r="E433" s="568"/>
      <c r="F433" s="75"/>
      <c r="G433" s="143"/>
      <c r="H433" s="118"/>
      <c r="I433" s="131"/>
      <c r="J433" s="188">
        <v>347</v>
      </c>
      <c r="K433" s="1059" t="s">
        <v>2298</v>
      </c>
      <c r="L433" s="915">
        <v>1363807.8970999999</v>
      </c>
      <c r="M433" s="915">
        <v>5112378.5568000004</v>
      </c>
      <c r="N433" s="118"/>
      <c r="O433" s="118" t="s">
        <v>2494</v>
      </c>
      <c r="P433" s="75" t="s">
        <v>193</v>
      </c>
      <c r="Q433" s="118"/>
      <c r="R433" s="118"/>
      <c r="S433" s="118"/>
      <c r="T433" s="601" t="s">
        <v>2677</v>
      </c>
      <c r="U433" s="24" t="s">
        <v>10</v>
      </c>
      <c r="V433" s="24" t="s">
        <v>10</v>
      </c>
      <c r="W433" s="24" t="s">
        <v>10</v>
      </c>
      <c r="X433" s="24" t="s">
        <v>193</v>
      </c>
      <c r="Y433" s="24" t="s">
        <v>2522</v>
      </c>
      <c r="Z433" s="46" t="s">
        <v>2468</v>
      </c>
      <c r="AA433" s="24">
        <v>1</v>
      </c>
      <c r="AB433" s="24" t="s">
        <v>2461</v>
      </c>
      <c r="AC433" s="24">
        <v>15.2</v>
      </c>
      <c r="AD433" s="24">
        <f t="shared" si="8"/>
        <v>12.799999999999999</v>
      </c>
      <c r="AE433" s="24">
        <f t="shared" si="9"/>
        <v>17.599999999999998</v>
      </c>
      <c r="AF433" s="24"/>
      <c r="AG433" s="351"/>
      <c r="AH433" s="351"/>
      <c r="AI433" s="45" t="s">
        <v>256</v>
      </c>
      <c r="AJ433" s="103"/>
      <c r="AK433" s="103"/>
      <c r="AL433" s="351"/>
      <c r="AM433" s="351"/>
      <c r="AN433" s="46" t="s">
        <v>2561</v>
      </c>
      <c r="AO433" s="46" t="s">
        <v>2472</v>
      </c>
      <c r="AP433" s="46" t="s">
        <v>2405</v>
      </c>
      <c r="AQ433" s="46" t="s">
        <v>37</v>
      </c>
      <c r="AR433" s="47">
        <v>44125</v>
      </c>
      <c r="AS433" s="46" t="s">
        <v>37</v>
      </c>
      <c r="AT433" s="365"/>
      <c r="AU433" s="1107"/>
    </row>
    <row r="434" spans="1:47" ht="54" x14ac:dyDescent="0.25">
      <c r="A434" s="488"/>
      <c r="B434" s="131"/>
      <c r="C434" s="75"/>
      <c r="D434" s="568"/>
      <c r="E434" s="568"/>
      <c r="F434" s="75"/>
      <c r="G434" s="143"/>
      <c r="H434" s="118"/>
      <c r="I434" s="131"/>
      <c r="J434" s="188">
        <v>348</v>
      </c>
      <c r="K434" s="1059" t="s">
        <v>2299</v>
      </c>
      <c r="L434" s="915">
        <v>1363882.0171999999</v>
      </c>
      <c r="M434" s="915">
        <v>5112412.3564999998</v>
      </c>
      <c r="N434" s="118"/>
      <c r="O434" s="118" t="s">
        <v>2495</v>
      </c>
      <c r="P434" s="75" t="s">
        <v>193</v>
      </c>
      <c r="Q434" s="118"/>
      <c r="R434" s="118"/>
      <c r="S434" s="118"/>
      <c r="T434" s="601" t="s">
        <v>2678</v>
      </c>
      <c r="U434" s="24" t="s">
        <v>10</v>
      </c>
      <c r="V434" s="24" t="s">
        <v>10</v>
      </c>
      <c r="W434" s="24" t="s">
        <v>10</v>
      </c>
      <c r="X434" s="24" t="s">
        <v>193</v>
      </c>
      <c r="Y434" s="24" t="s">
        <v>2523</v>
      </c>
      <c r="Z434" s="46" t="s">
        <v>2468</v>
      </c>
      <c r="AA434" s="24">
        <v>1</v>
      </c>
      <c r="AB434" s="24" t="s">
        <v>2461</v>
      </c>
      <c r="AC434" s="24">
        <v>15.2</v>
      </c>
      <c r="AD434" s="24">
        <f t="shared" si="8"/>
        <v>12.799999999999999</v>
      </c>
      <c r="AE434" s="24">
        <f t="shared" si="9"/>
        <v>17.599999999999998</v>
      </c>
      <c r="AF434" s="24"/>
      <c r="AG434" s="351"/>
      <c r="AH434" s="351"/>
      <c r="AI434" s="45" t="s">
        <v>256</v>
      </c>
      <c r="AJ434" s="103"/>
      <c r="AK434" s="103"/>
      <c r="AL434" s="351"/>
      <c r="AM434" s="351"/>
      <c r="AN434" s="46" t="s">
        <v>2561</v>
      </c>
      <c r="AO434" s="46" t="s">
        <v>2472</v>
      </c>
      <c r="AP434" s="46" t="s">
        <v>2405</v>
      </c>
      <c r="AQ434" s="46" t="s">
        <v>37</v>
      </c>
      <c r="AR434" s="47">
        <v>44125</v>
      </c>
      <c r="AS434" s="46" t="s">
        <v>37</v>
      </c>
      <c r="AT434" s="365"/>
      <c r="AU434" s="1107"/>
    </row>
    <row r="435" spans="1:47" ht="54" x14ac:dyDescent="0.25">
      <c r="A435" s="488"/>
      <c r="B435" s="131"/>
      <c r="C435" s="75"/>
      <c r="D435" s="568"/>
      <c r="E435" s="568"/>
      <c r="F435" s="75"/>
      <c r="G435" s="143"/>
      <c r="H435" s="118"/>
      <c r="I435" s="131"/>
      <c r="J435" s="188">
        <v>349</v>
      </c>
      <c r="K435" s="1059" t="s">
        <v>2300</v>
      </c>
      <c r="L435" s="915">
        <v>1363831.6693</v>
      </c>
      <c r="M435" s="915">
        <v>5112386.0827000001</v>
      </c>
      <c r="N435" s="118"/>
      <c r="O435" s="118" t="s">
        <v>2486</v>
      </c>
      <c r="P435" s="75" t="s">
        <v>193</v>
      </c>
      <c r="Q435" s="118"/>
      <c r="R435" s="118"/>
      <c r="S435" s="118"/>
      <c r="T435" s="601" t="s">
        <v>2668</v>
      </c>
      <c r="U435" s="24" t="s">
        <v>10</v>
      </c>
      <c r="V435" s="24" t="s">
        <v>10</v>
      </c>
      <c r="W435" s="24" t="s">
        <v>10</v>
      </c>
      <c r="X435" s="24" t="s">
        <v>193</v>
      </c>
      <c r="Y435" s="24" t="s">
        <v>2524</v>
      </c>
      <c r="Z435" s="46" t="s">
        <v>2468</v>
      </c>
      <c r="AA435" s="24">
        <v>1</v>
      </c>
      <c r="AB435" s="24" t="s">
        <v>2461</v>
      </c>
      <c r="AC435" s="24">
        <v>15.2</v>
      </c>
      <c r="AD435" s="24">
        <f t="shared" si="8"/>
        <v>12.799999999999999</v>
      </c>
      <c r="AE435" s="24">
        <f t="shared" si="9"/>
        <v>17.599999999999998</v>
      </c>
      <c r="AF435" s="24"/>
      <c r="AG435" s="351"/>
      <c r="AH435" s="351"/>
      <c r="AI435" s="45" t="s">
        <v>256</v>
      </c>
      <c r="AJ435" s="103"/>
      <c r="AK435" s="103"/>
      <c r="AL435" s="351"/>
      <c r="AM435" s="351"/>
      <c r="AN435" s="46" t="s">
        <v>2561</v>
      </c>
      <c r="AO435" s="46" t="s">
        <v>2472</v>
      </c>
      <c r="AP435" s="46" t="s">
        <v>2405</v>
      </c>
      <c r="AQ435" s="46" t="s">
        <v>37</v>
      </c>
      <c r="AR435" s="47">
        <v>44125</v>
      </c>
      <c r="AS435" s="46" t="s">
        <v>37</v>
      </c>
      <c r="AT435" s="365"/>
      <c r="AU435" s="1107"/>
    </row>
    <row r="436" spans="1:47" ht="54" x14ac:dyDescent="0.25">
      <c r="A436" s="488"/>
      <c r="B436" s="131"/>
      <c r="C436" s="75"/>
      <c r="D436" s="568"/>
      <c r="E436" s="568"/>
      <c r="F436" s="75"/>
      <c r="G436" s="143"/>
      <c r="H436" s="118"/>
      <c r="I436" s="131"/>
      <c r="J436" s="188">
        <v>350</v>
      </c>
      <c r="K436" s="1059" t="s">
        <v>2301</v>
      </c>
      <c r="L436" s="915">
        <v>1363851.8814999999</v>
      </c>
      <c r="M436" s="915">
        <v>5112403.4903999995</v>
      </c>
      <c r="N436" s="118"/>
      <c r="O436" s="118" t="s">
        <v>2493</v>
      </c>
      <c r="P436" s="75" t="s">
        <v>193</v>
      </c>
      <c r="Q436" s="118"/>
      <c r="R436" s="118"/>
      <c r="S436" s="118"/>
      <c r="T436" s="601" t="s">
        <v>2676</v>
      </c>
      <c r="U436" s="24" t="s">
        <v>10</v>
      </c>
      <c r="V436" s="24" t="s">
        <v>10</v>
      </c>
      <c r="W436" s="24" t="s">
        <v>10</v>
      </c>
      <c r="X436" s="24" t="s">
        <v>193</v>
      </c>
      <c r="Y436" s="24" t="s">
        <v>2525</v>
      </c>
      <c r="Z436" s="46" t="s">
        <v>2468</v>
      </c>
      <c r="AA436" s="24">
        <v>1</v>
      </c>
      <c r="AB436" s="24" t="s">
        <v>2461</v>
      </c>
      <c r="AC436" s="24">
        <v>15.2</v>
      </c>
      <c r="AD436" s="24">
        <f t="shared" si="8"/>
        <v>12.799999999999999</v>
      </c>
      <c r="AE436" s="24">
        <f t="shared" si="9"/>
        <v>17.599999999999998</v>
      </c>
      <c r="AF436" s="24"/>
      <c r="AG436" s="351"/>
      <c r="AH436" s="351"/>
      <c r="AI436" s="45" t="s">
        <v>256</v>
      </c>
      <c r="AJ436" s="103"/>
      <c r="AK436" s="103"/>
      <c r="AL436" s="351"/>
      <c r="AM436" s="351"/>
      <c r="AN436" s="46" t="s">
        <v>2561</v>
      </c>
      <c r="AO436" s="46" t="s">
        <v>2472</v>
      </c>
      <c r="AP436" s="46" t="s">
        <v>2405</v>
      </c>
      <c r="AQ436" s="46" t="s">
        <v>37</v>
      </c>
      <c r="AR436" s="47">
        <v>44125</v>
      </c>
      <c r="AS436" s="46" t="s">
        <v>37</v>
      </c>
      <c r="AT436" s="365"/>
      <c r="AU436" s="1107"/>
    </row>
    <row r="437" spans="1:47" ht="54" x14ac:dyDescent="0.25">
      <c r="A437" s="488"/>
      <c r="B437" s="131"/>
      <c r="C437" s="75"/>
      <c r="D437" s="568"/>
      <c r="E437" s="568"/>
      <c r="F437" s="75"/>
      <c r="G437" s="143"/>
      <c r="H437" s="118"/>
      <c r="I437" s="131"/>
      <c r="J437" s="188">
        <v>351</v>
      </c>
      <c r="K437" s="1059" t="s">
        <v>2302</v>
      </c>
      <c r="L437" s="915">
        <v>1363914.7494000001</v>
      </c>
      <c r="M437" s="915">
        <v>5112393.5113000004</v>
      </c>
      <c r="N437" s="118"/>
      <c r="O437" s="118" t="s">
        <v>2496</v>
      </c>
      <c r="P437" s="75" t="s">
        <v>193</v>
      </c>
      <c r="Q437" s="118"/>
      <c r="R437" s="118"/>
      <c r="S437" s="118"/>
      <c r="T437" s="601" t="s">
        <v>2679</v>
      </c>
      <c r="U437" s="24" t="s">
        <v>10</v>
      </c>
      <c r="V437" s="24" t="s">
        <v>10</v>
      </c>
      <c r="W437" s="24" t="s">
        <v>10</v>
      </c>
      <c r="X437" s="24" t="s">
        <v>193</v>
      </c>
      <c r="Y437" s="24" t="s">
        <v>2526</v>
      </c>
      <c r="Z437" s="46" t="s">
        <v>2468</v>
      </c>
      <c r="AA437" s="24">
        <v>1</v>
      </c>
      <c r="AB437" s="24" t="s">
        <v>2461</v>
      </c>
      <c r="AC437" s="24">
        <v>15.2</v>
      </c>
      <c r="AD437" s="24">
        <f t="shared" si="8"/>
        <v>12.799999999999999</v>
      </c>
      <c r="AE437" s="24">
        <f t="shared" si="9"/>
        <v>17.599999999999998</v>
      </c>
      <c r="AF437" s="24"/>
      <c r="AG437" s="351"/>
      <c r="AH437" s="351"/>
      <c r="AI437" s="45" t="s">
        <v>256</v>
      </c>
      <c r="AJ437" s="103"/>
      <c r="AK437" s="103"/>
      <c r="AL437" s="351"/>
      <c r="AM437" s="351"/>
      <c r="AN437" s="46" t="s">
        <v>2561</v>
      </c>
      <c r="AO437" s="46" t="s">
        <v>2472</v>
      </c>
      <c r="AP437" s="46" t="s">
        <v>2405</v>
      </c>
      <c r="AQ437" s="46" t="s">
        <v>37</v>
      </c>
      <c r="AR437" s="47">
        <v>44125</v>
      </c>
      <c r="AS437" s="46" t="s">
        <v>37</v>
      </c>
      <c r="AT437" s="365"/>
      <c r="AU437" s="1107"/>
    </row>
    <row r="438" spans="1:47" ht="54" x14ac:dyDescent="0.25">
      <c r="A438" s="488"/>
      <c r="B438" s="131"/>
      <c r="C438" s="75"/>
      <c r="D438" s="568"/>
      <c r="E438" s="568"/>
      <c r="F438" s="75"/>
      <c r="G438" s="143"/>
      <c r="H438" s="118"/>
      <c r="I438" s="131"/>
      <c r="J438" s="188">
        <v>352</v>
      </c>
      <c r="K438" s="1059" t="s">
        <v>2303</v>
      </c>
      <c r="L438" s="915">
        <v>1362046.5120999999</v>
      </c>
      <c r="M438" s="915">
        <v>5110446.6295999996</v>
      </c>
      <c r="N438" s="118"/>
      <c r="O438" s="118" t="s">
        <v>2497</v>
      </c>
      <c r="P438" s="75" t="s">
        <v>193</v>
      </c>
      <c r="Q438" s="118"/>
      <c r="R438" s="118"/>
      <c r="S438" s="118"/>
      <c r="T438" s="601" t="s">
        <v>2680</v>
      </c>
      <c r="U438" s="24" t="s">
        <v>10</v>
      </c>
      <c r="V438" s="24" t="s">
        <v>10</v>
      </c>
      <c r="W438" s="24" t="s">
        <v>10</v>
      </c>
      <c r="X438" s="24" t="s">
        <v>193</v>
      </c>
      <c r="Y438" s="24" t="s">
        <v>2527</v>
      </c>
      <c r="Z438" s="46" t="s">
        <v>2468</v>
      </c>
      <c r="AA438" s="24">
        <v>1</v>
      </c>
      <c r="AB438" s="24" t="s">
        <v>2461</v>
      </c>
      <c r="AC438" s="24">
        <v>15.2</v>
      </c>
      <c r="AD438" s="24">
        <f t="shared" si="8"/>
        <v>12.799999999999999</v>
      </c>
      <c r="AE438" s="24">
        <f t="shared" si="9"/>
        <v>17.599999999999998</v>
      </c>
      <c r="AF438" s="24"/>
      <c r="AG438" s="351"/>
      <c r="AH438" s="351"/>
      <c r="AI438" s="45" t="s">
        <v>256</v>
      </c>
      <c r="AJ438" s="103"/>
      <c r="AK438" s="103"/>
      <c r="AL438" s="351"/>
      <c r="AM438" s="351"/>
      <c r="AN438" s="46" t="s">
        <v>2561</v>
      </c>
      <c r="AO438" s="46" t="s">
        <v>2472</v>
      </c>
      <c r="AP438" s="46" t="s">
        <v>2405</v>
      </c>
      <c r="AQ438" s="46" t="s">
        <v>37</v>
      </c>
      <c r="AR438" s="47">
        <v>44125</v>
      </c>
      <c r="AS438" s="46" t="s">
        <v>37</v>
      </c>
      <c r="AT438" s="365"/>
      <c r="AU438" s="1107"/>
    </row>
    <row r="439" spans="1:47" ht="54" x14ac:dyDescent="0.25">
      <c r="A439" s="488"/>
      <c r="B439" s="131"/>
      <c r="C439" s="75"/>
      <c r="D439" s="568"/>
      <c r="E439" s="568"/>
      <c r="F439" s="75"/>
      <c r="G439" s="143"/>
      <c r="H439" s="118"/>
      <c r="I439" s="131"/>
      <c r="J439" s="188">
        <v>353</v>
      </c>
      <c r="K439" s="1059" t="s">
        <v>2304</v>
      </c>
      <c r="L439" s="915">
        <v>1362036.2339999999</v>
      </c>
      <c r="M439" s="915">
        <v>5110420.6771999998</v>
      </c>
      <c r="N439" s="118"/>
      <c r="O439" s="118" t="s">
        <v>2497</v>
      </c>
      <c r="P439" s="75" t="s">
        <v>193</v>
      </c>
      <c r="Q439" s="118"/>
      <c r="R439" s="118"/>
      <c r="S439" s="118"/>
      <c r="T439" s="601" t="s">
        <v>2680</v>
      </c>
      <c r="U439" s="24" t="s">
        <v>10</v>
      </c>
      <c r="V439" s="24" t="s">
        <v>10</v>
      </c>
      <c r="W439" s="24" t="s">
        <v>10</v>
      </c>
      <c r="X439" s="24" t="s">
        <v>193</v>
      </c>
      <c r="Y439" s="24" t="s">
        <v>2528</v>
      </c>
      <c r="Z439" s="46" t="s">
        <v>2468</v>
      </c>
      <c r="AA439" s="24">
        <v>1</v>
      </c>
      <c r="AB439" s="24" t="s">
        <v>2461</v>
      </c>
      <c r="AC439" s="24">
        <v>15.2</v>
      </c>
      <c r="AD439" s="24">
        <f t="shared" si="8"/>
        <v>12.799999999999999</v>
      </c>
      <c r="AE439" s="24">
        <f t="shared" si="9"/>
        <v>17.599999999999998</v>
      </c>
      <c r="AF439" s="24"/>
      <c r="AG439" s="351"/>
      <c r="AH439" s="351"/>
      <c r="AI439" s="45" t="s">
        <v>256</v>
      </c>
      <c r="AJ439" s="103"/>
      <c r="AK439" s="103"/>
      <c r="AL439" s="351"/>
      <c r="AM439" s="351"/>
      <c r="AN439" s="46" t="s">
        <v>2561</v>
      </c>
      <c r="AO439" s="46" t="s">
        <v>2472</v>
      </c>
      <c r="AP439" s="46" t="s">
        <v>2405</v>
      </c>
      <c r="AQ439" s="46" t="s">
        <v>37</v>
      </c>
      <c r="AR439" s="47">
        <v>44125</v>
      </c>
      <c r="AS439" s="46" t="s">
        <v>37</v>
      </c>
      <c r="AT439" s="365"/>
      <c r="AU439" s="1107"/>
    </row>
    <row r="440" spans="1:47" ht="54" x14ac:dyDescent="0.25">
      <c r="A440" s="488"/>
      <c r="B440" s="131"/>
      <c r="C440" s="75"/>
      <c r="D440" s="568"/>
      <c r="E440" s="568"/>
      <c r="F440" s="75"/>
      <c r="G440" s="143"/>
      <c r="H440" s="118"/>
      <c r="I440" s="131"/>
      <c r="J440" s="188">
        <v>354</v>
      </c>
      <c r="K440" s="1059" t="s">
        <v>2305</v>
      </c>
      <c r="L440" s="915">
        <v>1362001.3925999999</v>
      </c>
      <c r="M440" s="915">
        <v>5110387.1629999997</v>
      </c>
      <c r="N440" s="118"/>
      <c r="O440" s="118" t="s">
        <v>2498</v>
      </c>
      <c r="P440" s="75" t="s">
        <v>193</v>
      </c>
      <c r="Q440" s="118"/>
      <c r="R440" s="118"/>
      <c r="S440" s="118"/>
      <c r="T440" s="601" t="s">
        <v>2681</v>
      </c>
      <c r="U440" s="24" t="s">
        <v>10</v>
      </c>
      <c r="V440" s="24" t="s">
        <v>10</v>
      </c>
      <c r="W440" s="24" t="s">
        <v>10</v>
      </c>
      <c r="X440" s="24" t="s">
        <v>193</v>
      </c>
      <c r="Y440" s="24" t="s">
        <v>2529</v>
      </c>
      <c r="Z440" s="46" t="s">
        <v>2468</v>
      </c>
      <c r="AA440" s="24">
        <v>1</v>
      </c>
      <c r="AB440" s="24" t="s">
        <v>2461</v>
      </c>
      <c r="AC440" s="24">
        <v>15.2</v>
      </c>
      <c r="AD440" s="24">
        <f t="shared" si="8"/>
        <v>12.799999999999999</v>
      </c>
      <c r="AE440" s="24">
        <f t="shared" si="9"/>
        <v>17.599999999999998</v>
      </c>
      <c r="AF440" s="24"/>
      <c r="AG440" s="351"/>
      <c r="AH440" s="351"/>
      <c r="AI440" s="45" t="s">
        <v>256</v>
      </c>
      <c r="AJ440" s="103"/>
      <c r="AK440" s="103"/>
      <c r="AL440" s="351"/>
      <c r="AM440" s="351"/>
      <c r="AN440" s="46" t="s">
        <v>2561</v>
      </c>
      <c r="AO440" s="46" t="s">
        <v>2472</v>
      </c>
      <c r="AP440" s="46" t="s">
        <v>2405</v>
      </c>
      <c r="AQ440" s="46" t="s">
        <v>37</v>
      </c>
      <c r="AR440" s="47">
        <v>44125</v>
      </c>
      <c r="AS440" s="46" t="s">
        <v>37</v>
      </c>
      <c r="AT440" s="365"/>
      <c r="AU440" s="1107"/>
    </row>
    <row r="441" spans="1:47" ht="54" x14ac:dyDescent="0.25">
      <c r="A441" s="488"/>
      <c r="B441" s="131"/>
      <c r="C441" s="75"/>
      <c r="D441" s="568"/>
      <c r="E441" s="568"/>
      <c r="F441" s="75"/>
      <c r="G441" s="143"/>
      <c r="H441" s="118"/>
      <c r="I441" s="131"/>
      <c r="J441" s="188">
        <v>355</v>
      </c>
      <c r="K441" s="1059" t="s">
        <v>2306</v>
      </c>
      <c r="L441" s="915">
        <v>1361996.7560000001</v>
      </c>
      <c r="M441" s="915">
        <v>5110360.3024000004</v>
      </c>
      <c r="N441" s="118"/>
      <c r="O441" s="118" t="s">
        <v>2497</v>
      </c>
      <c r="P441" s="75" t="s">
        <v>193</v>
      </c>
      <c r="Q441" s="118"/>
      <c r="R441" s="118"/>
      <c r="S441" s="118"/>
      <c r="T441" s="601" t="s">
        <v>2682</v>
      </c>
      <c r="U441" s="24" t="s">
        <v>10</v>
      </c>
      <c r="V441" s="24" t="s">
        <v>10</v>
      </c>
      <c r="W441" s="24" t="s">
        <v>10</v>
      </c>
      <c r="X441" s="24" t="s">
        <v>193</v>
      </c>
      <c r="Y441" s="24" t="s">
        <v>2530</v>
      </c>
      <c r="Z441" s="46" t="s">
        <v>2468</v>
      </c>
      <c r="AA441" s="24">
        <v>1</v>
      </c>
      <c r="AB441" s="24" t="s">
        <v>2461</v>
      </c>
      <c r="AC441" s="24">
        <v>15.2</v>
      </c>
      <c r="AD441" s="24">
        <f t="shared" si="8"/>
        <v>12.799999999999999</v>
      </c>
      <c r="AE441" s="24">
        <f t="shared" si="9"/>
        <v>17.599999999999998</v>
      </c>
      <c r="AF441" s="24"/>
      <c r="AG441" s="351"/>
      <c r="AH441" s="351"/>
      <c r="AI441" s="45" t="s">
        <v>256</v>
      </c>
      <c r="AJ441" s="103"/>
      <c r="AK441" s="103"/>
      <c r="AL441" s="351"/>
      <c r="AM441" s="351"/>
      <c r="AN441" s="46" t="s">
        <v>2561</v>
      </c>
      <c r="AO441" s="46" t="s">
        <v>2472</v>
      </c>
      <c r="AP441" s="46" t="s">
        <v>2405</v>
      </c>
      <c r="AQ441" s="46" t="s">
        <v>37</v>
      </c>
      <c r="AR441" s="47">
        <v>44125</v>
      </c>
      <c r="AS441" s="46" t="s">
        <v>37</v>
      </c>
      <c r="AT441" s="365"/>
      <c r="AU441" s="1107"/>
    </row>
    <row r="442" spans="1:47" ht="54" x14ac:dyDescent="0.25">
      <c r="A442" s="488"/>
      <c r="B442" s="131"/>
      <c r="C442" s="75"/>
      <c r="D442" s="568"/>
      <c r="E442" s="568"/>
      <c r="F442" s="75"/>
      <c r="G442" s="143"/>
      <c r="H442" s="118"/>
      <c r="I442" s="131"/>
      <c r="J442" s="188">
        <v>356</v>
      </c>
      <c r="K442" s="1059" t="s">
        <v>2307</v>
      </c>
      <c r="L442" s="915">
        <v>1361984.4358999999</v>
      </c>
      <c r="M442" s="915">
        <v>5110346.5103000002</v>
      </c>
      <c r="N442" s="118"/>
      <c r="O442" s="118" t="s">
        <v>2499</v>
      </c>
      <c r="P442" s="75" t="s">
        <v>193</v>
      </c>
      <c r="Q442" s="118"/>
      <c r="R442" s="118"/>
      <c r="S442" s="118"/>
      <c r="T442" s="601" t="s">
        <v>2277</v>
      </c>
      <c r="U442" s="24" t="s">
        <v>10</v>
      </c>
      <c r="V442" s="24" t="s">
        <v>10</v>
      </c>
      <c r="W442" s="24" t="s">
        <v>10</v>
      </c>
      <c r="X442" s="24" t="s">
        <v>193</v>
      </c>
      <c r="Y442" s="24" t="s">
        <v>2531</v>
      </c>
      <c r="Z442" s="46" t="s">
        <v>2468</v>
      </c>
      <c r="AA442" s="24">
        <v>1</v>
      </c>
      <c r="AB442" s="24" t="s">
        <v>2461</v>
      </c>
      <c r="AC442" s="24">
        <v>15.2</v>
      </c>
      <c r="AD442" s="24">
        <f t="shared" si="8"/>
        <v>12.799999999999999</v>
      </c>
      <c r="AE442" s="24">
        <f t="shared" si="9"/>
        <v>17.599999999999998</v>
      </c>
      <c r="AF442" s="24"/>
      <c r="AG442" s="351"/>
      <c r="AH442" s="351"/>
      <c r="AI442" s="45" t="s">
        <v>256</v>
      </c>
      <c r="AJ442" s="103"/>
      <c r="AK442" s="103"/>
      <c r="AL442" s="351"/>
      <c r="AM442" s="351"/>
      <c r="AN442" s="46" t="s">
        <v>2561</v>
      </c>
      <c r="AO442" s="46" t="s">
        <v>2472</v>
      </c>
      <c r="AP442" s="46" t="s">
        <v>2405</v>
      </c>
      <c r="AQ442" s="46" t="s">
        <v>37</v>
      </c>
      <c r="AR442" s="47">
        <v>44125</v>
      </c>
      <c r="AS442" s="46" t="s">
        <v>37</v>
      </c>
      <c r="AT442" s="365"/>
      <c r="AU442" s="1107"/>
    </row>
    <row r="443" spans="1:47" ht="54" x14ac:dyDescent="0.25">
      <c r="A443" s="488"/>
      <c r="B443" s="131"/>
      <c r="C443" s="75"/>
      <c r="D443" s="568"/>
      <c r="E443" s="568"/>
      <c r="F443" s="75"/>
      <c r="G443" s="143"/>
      <c r="H443" s="118"/>
      <c r="I443" s="131"/>
      <c r="J443" s="188">
        <v>357</v>
      </c>
      <c r="K443" s="1059" t="s">
        <v>2308</v>
      </c>
      <c r="L443" s="915">
        <v>1361987.4793</v>
      </c>
      <c r="M443" s="915">
        <v>5110328.8251999998</v>
      </c>
      <c r="N443" s="118"/>
      <c r="O443" s="118" t="s">
        <v>2498</v>
      </c>
      <c r="P443" s="75" t="s">
        <v>193</v>
      </c>
      <c r="Q443" s="118"/>
      <c r="R443" s="118"/>
      <c r="S443" s="118"/>
      <c r="T443" s="601" t="s">
        <v>2681</v>
      </c>
      <c r="U443" s="24" t="s">
        <v>10</v>
      </c>
      <c r="V443" s="24" t="s">
        <v>10</v>
      </c>
      <c r="W443" s="24" t="s">
        <v>10</v>
      </c>
      <c r="X443" s="24" t="s">
        <v>193</v>
      </c>
      <c r="Y443" s="24" t="s">
        <v>2532</v>
      </c>
      <c r="Z443" s="46" t="s">
        <v>2468</v>
      </c>
      <c r="AA443" s="24">
        <v>1</v>
      </c>
      <c r="AB443" s="24" t="s">
        <v>2461</v>
      </c>
      <c r="AC443" s="24">
        <v>15.2</v>
      </c>
      <c r="AD443" s="24">
        <f t="shared" si="8"/>
        <v>12.799999999999999</v>
      </c>
      <c r="AE443" s="24">
        <f t="shared" si="9"/>
        <v>17.599999999999998</v>
      </c>
      <c r="AF443" s="24"/>
      <c r="AG443" s="351"/>
      <c r="AH443" s="351"/>
      <c r="AI443" s="45" t="s">
        <v>256</v>
      </c>
      <c r="AJ443" s="103"/>
      <c r="AK443" s="103"/>
      <c r="AL443" s="351"/>
      <c r="AM443" s="351"/>
      <c r="AN443" s="46" t="s">
        <v>2561</v>
      </c>
      <c r="AO443" s="46" t="s">
        <v>2472</v>
      </c>
      <c r="AP443" s="46" t="s">
        <v>2405</v>
      </c>
      <c r="AQ443" s="46" t="s">
        <v>37</v>
      </c>
      <c r="AR443" s="47">
        <v>44125</v>
      </c>
      <c r="AS443" s="46" t="s">
        <v>37</v>
      </c>
      <c r="AT443" s="365"/>
      <c r="AU443" s="1107"/>
    </row>
    <row r="444" spans="1:47" ht="54" x14ac:dyDescent="0.25">
      <c r="A444" s="488"/>
      <c r="B444" s="131"/>
      <c r="C444" s="75"/>
      <c r="D444" s="568"/>
      <c r="E444" s="568"/>
      <c r="F444" s="75"/>
      <c r="G444" s="143"/>
      <c r="H444" s="118"/>
      <c r="I444" s="131"/>
      <c r="J444" s="188">
        <v>358</v>
      </c>
      <c r="K444" s="1059" t="s">
        <v>2309</v>
      </c>
      <c r="L444" s="915">
        <v>1361977.2017000001</v>
      </c>
      <c r="M444" s="915">
        <v>5110302.8727000002</v>
      </c>
      <c r="N444" s="118"/>
      <c r="O444" s="118" t="s">
        <v>2499</v>
      </c>
      <c r="P444" s="75" t="s">
        <v>193</v>
      </c>
      <c r="Q444" s="118"/>
      <c r="R444" s="118"/>
      <c r="S444" s="118"/>
      <c r="T444" s="601" t="s">
        <v>2277</v>
      </c>
      <c r="U444" s="24" t="s">
        <v>10</v>
      </c>
      <c r="V444" s="24" t="s">
        <v>10</v>
      </c>
      <c r="W444" s="24" t="s">
        <v>10</v>
      </c>
      <c r="X444" s="24" t="s">
        <v>193</v>
      </c>
      <c r="Y444" s="24" t="s">
        <v>2533</v>
      </c>
      <c r="Z444" s="46" t="s">
        <v>2468</v>
      </c>
      <c r="AA444" s="24">
        <v>1</v>
      </c>
      <c r="AB444" s="24" t="s">
        <v>2461</v>
      </c>
      <c r="AC444" s="24">
        <v>15.2</v>
      </c>
      <c r="AD444" s="24">
        <f t="shared" si="8"/>
        <v>12.799999999999999</v>
      </c>
      <c r="AE444" s="24">
        <f t="shared" si="9"/>
        <v>17.599999999999998</v>
      </c>
      <c r="AF444" s="24"/>
      <c r="AG444" s="351"/>
      <c r="AH444" s="351"/>
      <c r="AI444" s="45" t="s">
        <v>256</v>
      </c>
      <c r="AJ444" s="103"/>
      <c r="AK444" s="103"/>
      <c r="AL444" s="351"/>
      <c r="AM444" s="351"/>
      <c r="AN444" s="46" t="s">
        <v>2561</v>
      </c>
      <c r="AO444" s="46" t="s">
        <v>2472</v>
      </c>
      <c r="AP444" s="46" t="s">
        <v>2405</v>
      </c>
      <c r="AQ444" s="46" t="s">
        <v>37</v>
      </c>
      <c r="AR444" s="47">
        <v>44125</v>
      </c>
      <c r="AS444" s="46" t="s">
        <v>37</v>
      </c>
      <c r="AT444" s="365"/>
      <c r="AU444" s="1107"/>
    </row>
    <row r="445" spans="1:47" ht="54" x14ac:dyDescent="0.25">
      <c r="A445" s="488"/>
      <c r="B445" s="131"/>
      <c r="C445" s="75"/>
      <c r="D445" s="568"/>
      <c r="E445" s="568"/>
      <c r="F445" s="75"/>
      <c r="G445" s="143"/>
      <c r="H445" s="118"/>
      <c r="I445" s="131"/>
      <c r="J445" s="188">
        <v>359</v>
      </c>
      <c r="K445" s="1059" t="s">
        <v>2310</v>
      </c>
      <c r="L445" s="915">
        <v>1361988.3303</v>
      </c>
      <c r="M445" s="915">
        <v>5110261.0115999999</v>
      </c>
      <c r="N445" s="118"/>
      <c r="O445" s="118" t="s">
        <v>2500</v>
      </c>
      <c r="P445" s="75" t="s">
        <v>193</v>
      </c>
      <c r="Q445" s="118"/>
      <c r="R445" s="118"/>
      <c r="S445" s="118"/>
      <c r="T445" s="601" t="s">
        <v>2683</v>
      </c>
      <c r="U445" s="24" t="s">
        <v>10</v>
      </c>
      <c r="V445" s="24" t="s">
        <v>10</v>
      </c>
      <c r="W445" s="24" t="s">
        <v>10</v>
      </c>
      <c r="X445" s="24" t="s">
        <v>193</v>
      </c>
      <c r="Y445" s="24" t="s">
        <v>2534</v>
      </c>
      <c r="Z445" s="46" t="s">
        <v>2468</v>
      </c>
      <c r="AA445" s="24">
        <v>1</v>
      </c>
      <c r="AB445" s="24" t="s">
        <v>2461</v>
      </c>
      <c r="AC445" s="24">
        <v>15.2</v>
      </c>
      <c r="AD445" s="24">
        <f t="shared" si="8"/>
        <v>12.799999999999999</v>
      </c>
      <c r="AE445" s="24">
        <f t="shared" si="9"/>
        <v>17.599999999999998</v>
      </c>
      <c r="AF445" s="24"/>
      <c r="AG445" s="351"/>
      <c r="AH445" s="351"/>
      <c r="AI445" s="45" t="s">
        <v>256</v>
      </c>
      <c r="AJ445" s="103"/>
      <c r="AK445" s="103"/>
      <c r="AL445" s="351"/>
      <c r="AM445" s="351"/>
      <c r="AN445" s="46" t="s">
        <v>2561</v>
      </c>
      <c r="AO445" s="46" t="s">
        <v>2472</v>
      </c>
      <c r="AP445" s="46" t="s">
        <v>2405</v>
      </c>
      <c r="AQ445" s="46" t="s">
        <v>37</v>
      </c>
      <c r="AR445" s="47">
        <v>44125</v>
      </c>
      <c r="AS445" s="46" t="s">
        <v>37</v>
      </c>
      <c r="AT445" s="365"/>
      <c r="AU445" s="1107"/>
    </row>
    <row r="446" spans="1:47" ht="54" x14ac:dyDescent="0.25">
      <c r="A446" s="488"/>
      <c r="B446" s="131"/>
      <c r="C446" s="75"/>
      <c r="D446" s="568"/>
      <c r="E446" s="568"/>
      <c r="F446" s="75"/>
      <c r="G446" s="143"/>
      <c r="H446" s="118"/>
      <c r="I446" s="131"/>
      <c r="J446" s="188">
        <v>360</v>
      </c>
      <c r="K446" s="1059" t="s">
        <v>2311</v>
      </c>
      <c r="L446" s="915">
        <v>1361990.0948999999</v>
      </c>
      <c r="M446" s="915">
        <v>5110234.3825000003</v>
      </c>
      <c r="N446" s="118"/>
      <c r="O446" s="118" t="s">
        <v>2497</v>
      </c>
      <c r="P446" s="75" t="s">
        <v>193</v>
      </c>
      <c r="Q446" s="118"/>
      <c r="R446" s="118"/>
      <c r="S446" s="118"/>
      <c r="T446" s="601" t="s">
        <v>2680</v>
      </c>
      <c r="U446" s="24" t="s">
        <v>10</v>
      </c>
      <c r="V446" s="24" t="s">
        <v>10</v>
      </c>
      <c r="W446" s="24" t="s">
        <v>10</v>
      </c>
      <c r="X446" s="24" t="s">
        <v>193</v>
      </c>
      <c r="Y446" s="24" t="s">
        <v>2408</v>
      </c>
      <c r="Z446" s="46" t="s">
        <v>2468</v>
      </c>
      <c r="AA446" s="24">
        <v>1</v>
      </c>
      <c r="AB446" s="24" t="s">
        <v>2461</v>
      </c>
      <c r="AC446" s="24">
        <v>15.2</v>
      </c>
      <c r="AD446" s="24">
        <f t="shared" si="8"/>
        <v>12.799999999999999</v>
      </c>
      <c r="AE446" s="24">
        <f t="shared" si="9"/>
        <v>17.599999999999998</v>
      </c>
      <c r="AF446" s="24"/>
      <c r="AG446" s="351"/>
      <c r="AH446" s="351"/>
      <c r="AI446" s="45" t="s">
        <v>256</v>
      </c>
      <c r="AJ446" s="103"/>
      <c r="AK446" s="103"/>
      <c r="AL446" s="351"/>
      <c r="AM446" s="351"/>
      <c r="AN446" s="46" t="s">
        <v>2561</v>
      </c>
      <c r="AO446" s="46" t="s">
        <v>2472</v>
      </c>
      <c r="AP446" s="46" t="s">
        <v>2405</v>
      </c>
      <c r="AQ446" s="46" t="s">
        <v>37</v>
      </c>
      <c r="AR446" s="47">
        <v>44125</v>
      </c>
      <c r="AS446" s="46" t="s">
        <v>37</v>
      </c>
      <c r="AT446" s="365"/>
      <c r="AU446" s="1107"/>
    </row>
    <row r="447" spans="1:47" ht="54" x14ac:dyDescent="0.25">
      <c r="A447" s="488"/>
      <c r="B447" s="131"/>
      <c r="C447" s="75"/>
      <c r="D447" s="568"/>
      <c r="E447" s="568"/>
      <c r="F447" s="75"/>
      <c r="G447" s="143"/>
      <c r="H447" s="118"/>
      <c r="I447" s="131"/>
      <c r="J447" s="188">
        <v>361</v>
      </c>
      <c r="K447" s="1059" t="s">
        <v>2312</v>
      </c>
      <c r="L447" s="915">
        <v>1362020.1048000001</v>
      </c>
      <c r="M447" s="915">
        <v>5110202.1020999998</v>
      </c>
      <c r="N447" s="118"/>
      <c r="O447" s="118" t="s">
        <v>2500</v>
      </c>
      <c r="P447" s="75" t="s">
        <v>193</v>
      </c>
      <c r="Q447" s="118"/>
      <c r="R447" s="118"/>
      <c r="S447" s="118"/>
      <c r="T447" s="601" t="s">
        <v>2683</v>
      </c>
      <c r="U447" s="24" t="s">
        <v>10</v>
      </c>
      <c r="V447" s="24" t="s">
        <v>10</v>
      </c>
      <c r="W447" s="24" t="s">
        <v>10</v>
      </c>
      <c r="X447" s="24" t="s">
        <v>193</v>
      </c>
      <c r="Y447" s="24" t="s">
        <v>2535</v>
      </c>
      <c r="Z447" s="46" t="s">
        <v>2468</v>
      </c>
      <c r="AA447" s="24">
        <v>1</v>
      </c>
      <c r="AB447" s="24" t="s">
        <v>2461</v>
      </c>
      <c r="AC447" s="24">
        <v>15.2</v>
      </c>
      <c r="AD447" s="24">
        <f t="shared" si="8"/>
        <v>12.799999999999999</v>
      </c>
      <c r="AE447" s="24">
        <f t="shared" si="9"/>
        <v>17.599999999999998</v>
      </c>
      <c r="AF447" s="24"/>
      <c r="AG447" s="351"/>
      <c r="AH447" s="351"/>
      <c r="AI447" s="45" t="s">
        <v>256</v>
      </c>
      <c r="AJ447" s="103"/>
      <c r="AK447" s="103"/>
      <c r="AL447" s="351"/>
      <c r="AM447" s="351"/>
      <c r="AN447" s="46" t="s">
        <v>2561</v>
      </c>
      <c r="AO447" s="46" t="s">
        <v>2472</v>
      </c>
      <c r="AP447" s="46" t="s">
        <v>2405</v>
      </c>
      <c r="AQ447" s="46" t="s">
        <v>37</v>
      </c>
      <c r="AR447" s="47">
        <v>44125</v>
      </c>
      <c r="AS447" s="46" t="s">
        <v>37</v>
      </c>
      <c r="AT447" s="365"/>
      <c r="AU447" s="1107"/>
    </row>
    <row r="448" spans="1:47" ht="54" x14ac:dyDescent="0.25">
      <c r="A448" s="488"/>
      <c r="B448" s="131"/>
      <c r="C448" s="75"/>
      <c r="D448" s="568"/>
      <c r="E448" s="568"/>
      <c r="F448" s="75"/>
      <c r="G448" s="143"/>
      <c r="H448" s="118"/>
      <c r="I448" s="131"/>
      <c r="J448" s="188">
        <v>362</v>
      </c>
      <c r="K448" s="1059" t="s">
        <v>2313</v>
      </c>
      <c r="L448" s="915">
        <v>1362022.5086000001</v>
      </c>
      <c r="M448" s="915">
        <v>5110179.9450000003</v>
      </c>
      <c r="N448" s="118"/>
      <c r="O448" s="118" t="s">
        <v>2498</v>
      </c>
      <c r="P448" s="75" t="s">
        <v>193</v>
      </c>
      <c r="Q448" s="118"/>
      <c r="R448" s="118"/>
      <c r="S448" s="118"/>
      <c r="T448" s="601" t="s">
        <v>2681</v>
      </c>
      <c r="U448" s="24" t="s">
        <v>10</v>
      </c>
      <c r="V448" s="24" t="s">
        <v>10</v>
      </c>
      <c r="W448" s="24" t="s">
        <v>10</v>
      </c>
      <c r="X448" s="24" t="s">
        <v>193</v>
      </c>
      <c r="Y448" s="24" t="s">
        <v>2536</v>
      </c>
      <c r="Z448" s="46" t="s">
        <v>2468</v>
      </c>
      <c r="AA448" s="24">
        <v>1</v>
      </c>
      <c r="AB448" s="24" t="s">
        <v>2461</v>
      </c>
      <c r="AC448" s="24">
        <v>15.2</v>
      </c>
      <c r="AD448" s="24">
        <f t="shared" si="8"/>
        <v>12.799999999999999</v>
      </c>
      <c r="AE448" s="24">
        <f t="shared" si="9"/>
        <v>17.599999999999998</v>
      </c>
      <c r="AF448" s="24"/>
      <c r="AG448" s="351"/>
      <c r="AH448" s="351"/>
      <c r="AI448" s="45" t="s">
        <v>256</v>
      </c>
      <c r="AJ448" s="103"/>
      <c r="AK448" s="103"/>
      <c r="AL448" s="351"/>
      <c r="AM448" s="351"/>
      <c r="AN448" s="46" t="s">
        <v>2561</v>
      </c>
      <c r="AO448" s="46" t="s">
        <v>2472</v>
      </c>
      <c r="AP448" s="46" t="s">
        <v>2405</v>
      </c>
      <c r="AQ448" s="46" t="s">
        <v>37</v>
      </c>
      <c r="AR448" s="47">
        <v>44125</v>
      </c>
      <c r="AS448" s="46" t="s">
        <v>37</v>
      </c>
      <c r="AT448" s="365"/>
      <c r="AU448" s="1107"/>
    </row>
    <row r="449" spans="1:47" ht="54" x14ac:dyDescent="0.25">
      <c r="A449" s="488"/>
      <c r="B449" s="131"/>
      <c r="C449" s="75"/>
      <c r="D449" s="568"/>
      <c r="E449" s="568"/>
      <c r="F449" s="75"/>
      <c r="G449" s="143"/>
      <c r="H449" s="118"/>
      <c r="I449" s="131"/>
      <c r="J449" s="188">
        <v>363</v>
      </c>
      <c r="K449" s="1059" t="s">
        <v>2314</v>
      </c>
      <c r="L449" s="915">
        <v>1362031.2331000001</v>
      </c>
      <c r="M449" s="915">
        <v>5110160.2408999996</v>
      </c>
      <c r="N449" s="118"/>
      <c r="O449" s="118" t="s">
        <v>2498</v>
      </c>
      <c r="P449" s="75" t="s">
        <v>193</v>
      </c>
      <c r="Q449" s="118"/>
      <c r="R449" s="118"/>
      <c r="S449" s="118"/>
      <c r="T449" s="601" t="s">
        <v>2681</v>
      </c>
      <c r="U449" s="24" t="s">
        <v>10</v>
      </c>
      <c r="V449" s="24" t="s">
        <v>10</v>
      </c>
      <c r="W449" s="24" t="s">
        <v>10</v>
      </c>
      <c r="X449" s="24" t="s">
        <v>193</v>
      </c>
      <c r="Y449" s="24" t="s">
        <v>2537</v>
      </c>
      <c r="Z449" s="46" t="s">
        <v>2468</v>
      </c>
      <c r="AA449" s="24">
        <v>1</v>
      </c>
      <c r="AB449" s="24" t="s">
        <v>2461</v>
      </c>
      <c r="AC449" s="24">
        <v>15.2</v>
      </c>
      <c r="AD449" s="24">
        <f t="shared" si="8"/>
        <v>12.799999999999999</v>
      </c>
      <c r="AE449" s="24">
        <f t="shared" si="9"/>
        <v>17.599999999999998</v>
      </c>
      <c r="AF449" s="24"/>
      <c r="AG449" s="351"/>
      <c r="AH449" s="351"/>
      <c r="AI449" s="45" t="s">
        <v>256</v>
      </c>
      <c r="AJ449" s="103"/>
      <c r="AK449" s="103"/>
      <c r="AL449" s="351"/>
      <c r="AM449" s="351"/>
      <c r="AN449" s="46" t="s">
        <v>2561</v>
      </c>
      <c r="AO449" s="46" t="s">
        <v>2472</v>
      </c>
      <c r="AP449" s="46" t="s">
        <v>2405</v>
      </c>
      <c r="AQ449" s="46" t="s">
        <v>37</v>
      </c>
      <c r="AR449" s="47">
        <v>44125</v>
      </c>
      <c r="AS449" s="46" t="s">
        <v>37</v>
      </c>
      <c r="AT449" s="365"/>
      <c r="AU449" s="1107"/>
    </row>
    <row r="450" spans="1:47" ht="54" x14ac:dyDescent="0.25">
      <c r="A450" s="488"/>
      <c r="B450" s="131"/>
      <c r="C450" s="75"/>
      <c r="D450" s="568"/>
      <c r="E450" s="568"/>
      <c r="F450" s="75"/>
      <c r="G450" s="143"/>
      <c r="H450" s="118"/>
      <c r="I450" s="131"/>
      <c r="J450" s="188">
        <v>364</v>
      </c>
      <c r="K450" s="1059" t="s">
        <v>2315</v>
      </c>
      <c r="L450" s="915">
        <v>1362050.1281000001</v>
      </c>
      <c r="M450" s="915">
        <v>5110080.8458000002</v>
      </c>
      <c r="N450" s="118"/>
      <c r="O450" s="118" t="s">
        <v>2497</v>
      </c>
      <c r="P450" s="75" t="s">
        <v>193</v>
      </c>
      <c r="Q450" s="118"/>
      <c r="R450" s="118"/>
      <c r="S450" s="118"/>
      <c r="T450" s="601" t="s">
        <v>2680</v>
      </c>
      <c r="U450" s="24" t="s">
        <v>10</v>
      </c>
      <c r="V450" s="24" t="s">
        <v>10</v>
      </c>
      <c r="W450" s="24" t="s">
        <v>10</v>
      </c>
      <c r="X450" s="24" t="s">
        <v>193</v>
      </c>
      <c r="Y450" s="24" t="s">
        <v>2538</v>
      </c>
      <c r="Z450" s="46" t="s">
        <v>2468</v>
      </c>
      <c r="AA450" s="24">
        <v>1</v>
      </c>
      <c r="AB450" s="24" t="s">
        <v>2461</v>
      </c>
      <c r="AC450" s="24">
        <v>15.2</v>
      </c>
      <c r="AD450" s="24">
        <f t="shared" si="8"/>
        <v>12.799999999999999</v>
      </c>
      <c r="AE450" s="24">
        <f t="shared" si="9"/>
        <v>17.599999999999998</v>
      </c>
      <c r="AF450" s="24"/>
      <c r="AG450" s="351"/>
      <c r="AH450" s="351"/>
      <c r="AI450" s="45" t="s">
        <v>256</v>
      </c>
      <c r="AJ450" s="103"/>
      <c r="AK450" s="103"/>
      <c r="AL450" s="351"/>
      <c r="AM450" s="351"/>
      <c r="AN450" s="46" t="s">
        <v>2561</v>
      </c>
      <c r="AO450" s="46" t="s">
        <v>2472</v>
      </c>
      <c r="AP450" s="46" t="s">
        <v>2405</v>
      </c>
      <c r="AQ450" s="46" t="s">
        <v>37</v>
      </c>
      <c r="AR450" s="47">
        <v>44125</v>
      </c>
      <c r="AS450" s="46" t="s">
        <v>37</v>
      </c>
      <c r="AT450" s="365"/>
      <c r="AU450" s="1107"/>
    </row>
    <row r="451" spans="1:47" ht="54" x14ac:dyDescent="0.25">
      <c r="A451" s="488"/>
      <c r="B451" s="131"/>
      <c r="C451" s="75"/>
      <c r="D451" s="568"/>
      <c r="E451" s="568"/>
      <c r="F451" s="75"/>
      <c r="G451" s="143"/>
      <c r="H451" s="118"/>
      <c r="I451" s="131"/>
      <c r="J451" s="188">
        <v>365</v>
      </c>
      <c r="K451" s="1059" t="s">
        <v>2316</v>
      </c>
      <c r="L451" s="915">
        <v>1362031.1854000001</v>
      </c>
      <c r="M451" s="915">
        <v>5110471.6558999997</v>
      </c>
      <c r="N451" s="118"/>
      <c r="O451" s="118" t="s">
        <v>2489</v>
      </c>
      <c r="P451" s="75" t="s">
        <v>193</v>
      </c>
      <c r="Q451" s="118"/>
      <c r="R451" s="118"/>
      <c r="S451" s="118"/>
      <c r="T451" s="601" t="s">
        <v>2671</v>
      </c>
      <c r="U451" s="24" t="s">
        <v>10</v>
      </c>
      <c r="V451" s="24" t="s">
        <v>10</v>
      </c>
      <c r="W451" s="24" t="s">
        <v>10</v>
      </c>
      <c r="X451" s="24" t="s">
        <v>193</v>
      </c>
      <c r="Y451" s="24" t="s">
        <v>2539</v>
      </c>
      <c r="Z451" s="46" t="s">
        <v>2468</v>
      </c>
      <c r="AA451" s="24">
        <v>1</v>
      </c>
      <c r="AB451" s="24" t="s">
        <v>2461</v>
      </c>
      <c r="AC451" s="24">
        <v>15.2</v>
      </c>
      <c r="AD451" s="24">
        <f t="shared" si="8"/>
        <v>12.799999999999999</v>
      </c>
      <c r="AE451" s="24">
        <f t="shared" si="9"/>
        <v>17.599999999999998</v>
      </c>
      <c r="AF451" s="24"/>
      <c r="AG451" s="351"/>
      <c r="AH451" s="351"/>
      <c r="AI451" s="45" t="s">
        <v>256</v>
      </c>
      <c r="AJ451" s="103"/>
      <c r="AK451" s="103"/>
      <c r="AL451" s="351"/>
      <c r="AM451" s="351"/>
      <c r="AN451" s="46" t="s">
        <v>2561</v>
      </c>
      <c r="AO451" s="46" t="s">
        <v>2472</v>
      </c>
      <c r="AP451" s="46" t="s">
        <v>2405</v>
      </c>
      <c r="AQ451" s="46" t="s">
        <v>37</v>
      </c>
      <c r="AR451" s="47">
        <v>44125</v>
      </c>
      <c r="AS451" s="46" t="s">
        <v>37</v>
      </c>
      <c r="AT451" s="365"/>
      <c r="AU451" s="1107"/>
    </row>
    <row r="452" spans="1:47" ht="54" x14ac:dyDescent="0.25">
      <c r="A452" s="488"/>
      <c r="B452" s="131"/>
      <c r="C452" s="75"/>
      <c r="D452" s="568"/>
      <c r="E452" s="568"/>
      <c r="F452" s="75"/>
      <c r="G452" s="143"/>
      <c r="H452" s="118"/>
      <c r="I452" s="131"/>
      <c r="J452" s="188">
        <v>366</v>
      </c>
      <c r="K452" s="1059" t="s">
        <v>2317</v>
      </c>
      <c r="L452" s="915">
        <v>1362023.8635</v>
      </c>
      <c r="M452" s="915">
        <v>5110474.7276999997</v>
      </c>
      <c r="N452" s="118"/>
      <c r="O452" s="118" t="s">
        <v>2499</v>
      </c>
      <c r="P452" s="75" t="s">
        <v>193</v>
      </c>
      <c r="Q452" s="118"/>
      <c r="R452" s="118"/>
      <c r="S452" s="118"/>
      <c r="T452" s="601" t="s">
        <v>2277</v>
      </c>
      <c r="U452" s="24" t="s">
        <v>10</v>
      </c>
      <c r="V452" s="24" t="s">
        <v>10</v>
      </c>
      <c r="W452" s="24" t="s">
        <v>10</v>
      </c>
      <c r="X452" s="24" t="s">
        <v>193</v>
      </c>
      <c r="Y452" s="24" t="s">
        <v>2540</v>
      </c>
      <c r="Z452" s="46" t="s">
        <v>2468</v>
      </c>
      <c r="AA452" s="24">
        <v>1</v>
      </c>
      <c r="AB452" s="24" t="s">
        <v>2461</v>
      </c>
      <c r="AC452" s="24">
        <v>15.2</v>
      </c>
      <c r="AD452" s="24">
        <f t="shared" si="8"/>
        <v>12.799999999999999</v>
      </c>
      <c r="AE452" s="24">
        <f t="shared" si="9"/>
        <v>17.599999999999998</v>
      </c>
      <c r="AF452" s="24"/>
      <c r="AG452" s="351"/>
      <c r="AH452" s="351"/>
      <c r="AI452" s="45" t="s">
        <v>256</v>
      </c>
      <c r="AJ452" s="103"/>
      <c r="AK452" s="103"/>
      <c r="AL452" s="351"/>
      <c r="AM452" s="351"/>
      <c r="AN452" s="46" t="s">
        <v>2561</v>
      </c>
      <c r="AO452" s="46" t="s">
        <v>2472</v>
      </c>
      <c r="AP452" s="46" t="s">
        <v>2405</v>
      </c>
      <c r="AQ452" s="46" t="s">
        <v>37</v>
      </c>
      <c r="AR452" s="47">
        <v>44125</v>
      </c>
      <c r="AS452" s="46" t="s">
        <v>37</v>
      </c>
      <c r="AT452" s="365"/>
      <c r="AU452" s="1107"/>
    </row>
    <row r="453" spans="1:47" ht="54" x14ac:dyDescent="0.25">
      <c r="A453" s="488"/>
      <c r="B453" s="131"/>
      <c r="C453" s="75"/>
      <c r="D453" s="568"/>
      <c r="E453" s="568"/>
      <c r="F453" s="75"/>
      <c r="G453" s="143"/>
      <c r="H453" s="118"/>
      <c r="I453" s="131"/>
      <c r="J453" s="188">
        <v>367</v>
      </c>
      <c r="K453" s="1059" t="s">
        <v>2318</v>
      </c>
      <c r="L453" s="915">
        <v>1362014.7838999999</v>
      </c>
      <c r="M453" s="915">
        <v>5110459.9406000003</v>
      </c>
      <c r="N453" s="118"/>
      <c r="O453" s="118" t="s">
        <v>2497</v>
      </c>
      <c r="P453" s="75" t="s">
        <v>193</v>
      </c>
      <c r="Q453" s="118"/>
      <c r="R453" s="118"/>
      <c r="S453" s="118"/>
      <c r="T453" s="601" t="s">
        <v>2680</v>
      </c>
      <c r="U453" s="24" t="s">
        <v>10</v>
      </c>
      <c r="V453" s="24" t="s">
        <v>10</v>
      </c>
      <c r="W453" s="24" t="s">
        <v>10</v>
      </c>
      <c r="X453" s="24" t="s">
        <v>193</v>
      </c>
      <c r="Y453" s="24" t="s">
        <v>2541</v>
      </c>
      <c r="Z453" s="46" t="s">
        <v>2468</v>
      </c>
      <c r="AA453" s="24">
        <v>1</v>
      </c>
      <c r="AB453" s="24" t="s">
        <v>2461</v>
      </c>
      <c r="AC453" s="24">
        <v>15.2</v>
      </c>
      <c r="AD453" s="24">
        <f t="shared" si="8"/>
        <v>12.799999999999999</v>
      </c>
      <c r="AE453" s="24">
        <f t="shared" si="9"/>
        <v>17.599999999999998</v>
      </c>
      <c r="AF453" s="24"/>
      <c r="AG453" s="351"/>
      <c r="AH453" s="351"/>
      <c r="AI453" s="45" t="s">
        <v>256</v>
      </c>
      <c r="AJ453" s="103"/>
      <c r="AK453" s="103"/>
      <c r="AL453" s="351"/>
      <c r="AM453" s="351"/>
      <c r="AN453" s="46" t="s">
        <v>2561</v>
      </c>
      <c r="AO453" s="46" t="s">
        <v>2472</v>
      </c>
      <c r="AP453" s="46" t="s">
        <v>2405</v>
      </c>
      <c r="AQ453" s="46" t="s">
        <v>37</v>
      </c>
      <c r="AR453" s="47">
        <v>44125</v>
      </c>
      <c r="AS453" s="46" t="s">
        <v>37</v>
      </c>
      <c r="AT453" s="365"/>
      <c r="AU453" s="1107"/>
    </row>
    <row r="454" spans="1:47" ht="54" x14ac:dyDescent="0.25">
      <c r="A454" s="488"/>
      <c r="B454" s="131"/>
      <c r="C454" s="75"/>
      <c r="D454" s="568"/>
      <c r="E454" s="568"/>
      <c r="F454" s="75"/>
      <c r="G454" s="143"/>
      <c r="H454" s="118"/>
      <c r="I454" s="131"/>
      <c r="J454" s="188">
        <v>368</v>
      </c>
      <c r="K454" s="1059" t="s">
        <v>2319</v>
      </c>
      <c r="L454" s="915">
        <v>1361989.6612</v>
      </c>
      <c r="M454" s="915">
        <v>5110445.6853999998</v>
      </c>
      <c r="N454" s="118"/>
      <c r="O454" s="118" t="s">
        <v>2489</v>
      </c>
      <c r="P454" s="75" t="s">
        <v>193</v>
      </c>
      <c r="Q454" s="118"/>
      <c r="R454" s="118"/>
      <c r="S454" s="118"/>
      <c r="T454" s="601" t="s">
        <v>2671</v>
      </c>
      <c r="U454" s="24" t="s">
        <v>10</v>
      </c>
      <c r="V454" s="24" t="s">
        <v>10</v>
      </c>
      <c r="W454" s="24" t="s">
        <v>10</v>
      </c>
      <c r="X454" s="24" t="s">
        <v>193</v>
      </c>
      <c r="Y454" s="24" t="s">
        <v>2542</v>
      </c>
      <c r="Z454" s="46" t="s">
        <v>2468</v>
      </c>
      <c r="AA454" s="24">
        <v>1</v>
      </c>
      <c r="AB454" s="24" t="s">
        <v>2461</v>
      </c>
      <c r="AC454" s="24">
        <v>15.2</v>
      </c>
      <c r="AD454" s="24">
        <f t="shared" si="8"/>
        <v>12.799999999999999</v>
      </c>
      <c r="AE454" s="24">
        <f t="shared" si="9"/>
        <v>17.599999999999998</v>
      </c>
      <c r="AF454" s="24"/>
      <c r="AG454" s="351"/>
      <c r="AH454" s="351"/>
      <c r="AI454" s="45" t="s">
        <v>256</v>
      </c>
      <c r="AJ454" s="103"/>
      <c r="AK454" s="103"/>
      <c r="AL454" s="351"/>
      <c r="AM454" s="351"/>
      <c r="AN454" s="46" t="s">
        <v>2561</v>
      </c>
      <c r="AO454" s="46" t="s">
        <v>2472</v>
      </c>
      <c r="AP454" s="46" t="s">
        <v>2405</v>
      </c>
      <c r="AQ454" s="46" t="s">
        <v>37</v>
      </c>
      <c r="AR454" s="47">
        <v>44125</v>
      </c>
      <c r="AS454" s="46" t="s">
        <v>37</v>
      </c>
      <c r="AT454" s="365"/>
      <c r="AU454" s="1107"/>
    </row>
    <row r="455" spans="1:47" ht="54" x14ac:dyDescent="0.25">
      <c r="A455" s="488"/>
      <c r="B455" s="131"/>
      <c r="C455" s="75"/>
      <c r="D455" s="568"/>
      <c r="E455" s="568"/>
      <c r="F455" s="75"/>
      <c r="G455" s="143"/>
      <c r="H455" s="118"/>
      <c r="I455" s="131"/>
      <c r="J455" s="188">
        <v>369</v>
      </c>
      <c r="K455" s="1059" t="s">
        <v>2320</v>
      </c>
      <c r="L455" s="915">
        <v>1361966.6613</v>
      </c>
      <c r="M455" s="915">
        <v>5110417.0482000001</v>
      </c>
      <c r="N455" s="118"/>
      <c r="O455" s="118" t="s">
        <v>2497</v>
      </c>
      <c r="P455" s="75" t="s">
        <v>193</v>
      </c>
      <c r="Q455" s="118"/>
      <c r="R455" s="118"/>
      <c r="S455" s="118"/>
      <c r="T455" s="601" t="s">
        <v>2680</v>
      </c>
      <c r="U455" s="24" t="s">
        <v>10</v>
      </c>
      <c r="V455" s="24" t="s">
        <v>10</v>
      </c>
      <c r="W455" s="24" t="s">
        <v>10</v>
      </c>
      <c r="X455" s="24" t="s">
        <v>193</v>
      </c>
      <c r="Y455" s="24" t="s">
        <v>2543</v>
      </c>
      <c r="Z455" s="46" t="s">
        <v>2468</v>
      </c>
      <c r="AA455" s="24">
        <v>1</v>
      </c>
      <c r="AB455" s="24" t="s">
        <v>2461</v>
      </c>
      <c r="AC455" s="24">
        <v>15.2</v>
      </c>
      <c r="AD455" s="24">
        <f t="shared" si="8"/>
        <v>12.799999999999999</v>
      </c>
      <c r="AE455" s="24">
        <f t="shared" si="9"/>
        <v>17.599999999999998</v>
      </c>
      <c r="AF455" s="24"/>
      <c r="AG455" s="351"/>
      <c r="AH455" s="351"/>
      <c r="AI455" s="45" t="s">
        <v>256</v>
      </c>
      <c r="AJ455" s="103"/>
      <c r="AK455" s="103"/>
      <c r="AL455" s="351"/>
      <c r="AM455" s="351"/>
      <c r="AN455" s="46" t="s">
        <v>2561</v>
      </c>
      <c r="AO455" s="46" t="s">
        <v>2472</v>
      </c>
      <c r="AP455" s="46" t="s">
        <v>2405</v>
      </c>
      <c r="AQ455" s="46" t="s">
        <v>37</v>
      </c>
      <c r="AR455" s="47">
        <v>44125</v>
      </c>
      <c r="AS455" s="46" t="s">
        <v>37</v>
      </c>
      <c r="AT455" s="365"/>
      <c r="AU455" s="1107"/>
    </row>
    <row r="456" spans="1:47" ht="54" x14ac:dyDescent="0.25">
      <c r="A456" s="488"/>
      <c r="B456" s="131"/>
      <c r="C456" s="75"/>
      <c r="D456" s="568"/>
      <c r="E456" s="568"/>
      <c r="F456" s="75"/>
      <c r="G456" s="143"/>
      <c r="H456" s="118"/>
      <c r="I456" s="131"/>
      <c r="J456" s="188">
        <v>370</v>
      </c>
      <c r="K456" s="1059" t="s">
        <v>2321</v>
      </c>
      <c r="L456" s="915">
        <v>1361946.6174000001</v>
      </c>
      <c r="M456" s="915">
        <v>5110417.4352000002</v>
      </c>
      <c r="N456" s="118"/>
      <c r="O456" s="118" t="s">
        <v>2489</v>
      </c>
      <c r="P456" s="75" t="s">
        <v>193</v>
      </c>
      <c r="Q456" s="118"/>
      <c r="R456" s="118"/>
      <c r="S456" s="118"/>
      <c r="T456" s="601" t="s">
        <v>2671</v>
      </c>
      <c r="U456" s="24" t="s">
        <v>10</v>
      </c>
      <c r="V456" s="24" t="s">
        <v>10</v>
      </c>
      <c r="W456" s="24" t="s">
        <v>10</v>
      </c>
      <c r="X456" s="24" t="s">
        <v>193</v>
      </c>
      <c r="Y456" s="24" t="s">
        <v>2544</v>
      </c>
      <c r="Z456" s="46" t="s">
        <v>2468</v>
      </c>
      <c r="AA456" s="24">
        <v>1</v>
      </c>
      <c r="AB456" s="24" t="s">
        <v>2461</v>
      </c>
      <c r="AC456" s="24">
        <v>15.2</v>
      </c>
      <c r="AD456" s="24">
        <f t="shared" si="8"/>
        <v>12.799999999999999</v>
      </c>
      <c r="AE456" s="24">
        <f t="shared" si="9"/>
        <v>17.599999999999998</v>
      </c>
      <c r="AF456" s="24"/>
      <c r="AG456" s="351"/>
      <c r="AH456" s="351"/>
      <c r="AI456" s="45" t="s">
        <v>256</v>
      </c>
      <c r="AJ456" s="103"/>
      <c r="AK456" s="103"/>
      <c r="AL456" s="351"/>
      <c r="AM456" s="351"/>
      <c r="AN456" s="46" t="s">
        <v>2561</v>
      </c>
      <c r="AO456" s="46" t="s">
        <v>2472</v>
      </c>
      <c r="AP456" s="46" t="s">
        <v>2405</v>
      </c>
      <c r="AQ456" s="46" t="s">
        <v>37</v>
      </c>
      <c r="AR456" s="47">
        <v>44125</v>
      </c>
      <c r="AS456" s="46" t="s">
        <v>37</v>
      </c>
      <c r="AT456" s="365"/>
      <c r="AU456" s="1107"/>
    </row>
    <row r="457" spans="1:47" ht="54" x14ac:dyDescent="0.25">
      <c r="A457" s="488"/>
      <c r="B457" s="131"/>
      <c r="C457" s="75"/>
      <c r="D457" s="568"/>
      <c r="E457" s="568"/>
      <c r="F457" s="75"/>
      <c r="G457" s="143"/>
      <c r="H457" s="118"/>
      <c r="I457" s="131"/>
      <c r="J457" s="188">
        <v>371</v>
      </c>
      <c r="K457" s="1059" t="s">
        <v>2322</v>
      </c>
      <c r="L457" s="915">
        <v>1361942.4231</v>
      </c>
      <c r="M457" s="915">
        <v>5110378.3563000001</v>
      </c>
      <c r="N457" s="118"/>
      <c r="O457" s="118" t="s">
        <v>2497</v>
      </c>
      <c r="P457" s="75" t="s">
        <v>193</v>
      </c>
      <c r="Q457" s="118"/>
      <c r="R457" s="118"/>
      <c r="S457" s="118"/>
      <c r="T457" s="601" t="s">
        <v>2680</v>
      </c>
      <c r="U457" s="24" t="s">
        <v>10</v>
      </c>
      <c r="V457" s="24" t="s">
        <v>10</v>
      </c>
      <c r="W457" s="24" t="s">
        <v>10</v>
      </c>
      <c r="X457" s="24" t="s">
        <v>193</v>
      </c>
      <c r="Y457" s="24" t="s">
        <v>2545</v>
      </c>
      <c r="Z457" s="46" t="s">
        <v>2468</v>
      </c>
      <c r="AA457" s="24">
        <v>1</v>
      </c>
      <c r="AB457" s="24" t="s">
        <v>2461</v>
      </c>
      <c r="AC457" s="24">
        <v>15.2</v>
      </c>
      <c r="AD457" s="24">
        <f t="shared" si="8"/>
        <v>12.799999999999999</v>
      </c>
      <c r="AE457" s="24">
        <f t="shared" si="9"/>
        <v>17.599999999999998</v>
      </c>
      <c r="AF457" s="24"/>
      <c r="AG457" s="351"/>
      <c r="AH457" s="351"/>
      <c r="AI457" s="45" t="s">
        <v>256</v>
      </c>
      <c r="AJ457" s="103"/>
      <c r="AK457" s="103"/>
      <c r="AL457" s="351"/>
      <c r="AM457" s="351"/>
      <c r="AN457" s="46" t="s">
        <v>2561</v>
      </c>
      <c r="AO457" s="46" t="s">
        <v>2472</v>
      </c>
      <c r="AP457" s="46" t="s">
        <v>2405</v>
      </c>
      <c r="AQ457" s="46" t="s">
        <v>37</v>
      </c>
      <c r="AR457" s="47">
        <v>44125</v>
      </c>
      <c r="AS457" s="46" t="s">
        <v>37</v>
      </c>
      <c r="AT457" s="365"/>
      <c r="AU457" s="1107"/>
    </row>
    <row r="458" spans="1:47" ht="54" x14ac:dyDescent="0.25">
      <c r="A458" s="488"/>
      <c r="B458" s="131"/>
      <c r="C458" s="75"/>
      <c r="D458" s="568"/>
      <c r="E458" s="568"/>
      <c r="F458" s="75"/>
      <c r="G458" s="143"/>
      <c r="H458" s="118"/>
      <c r="I458" s="131"/>
      <c r="J458" s="188">
        <v>372</v>
      </c>
      <c r="K458" s="1059" t="s">
        <v>2323</v>
      </c>
      <c r="L458" s="915">
        <v>1361924.3086000001</v>
      </c>
      <c r="M458" s="915">
        <v>5110325.4272999996</v>
      </c>
      <c r="N458" s="118"/>
      <c r="O458" s="118" t="s">
        <v>2497</v>
      </c>
      <c r="P458" s="75" t="s">
        <v>193</v>
      </c>
      <c r="Q458" s="118"/>
      <c r="R458" s="118"/>
      <c r="S458" s="118"/>
      <c r="T458" s="601" t="s">
        <v>2680</v>
      </c>
      <c r="U458" s="24" t="s">
        <v>10</v>
      </c>
      <c r="V458" s="24" t="s">
        <v>10</v>
      </c>
      <c r="W458" s="24" t="s">
        <v>10</v>
      </c>
      <c r="X458" s="24" t="s">
        <v>193</v>
      </c>
      <c r="Y458" s="24" t="s">
        <v>2546</v>
      </c>
      <c r="Z458" s="46" t="s">
        <v>2468</v>
      </c>
      <c r="AA458" s="24">
        <v>1</v>
      </c>
      <c r="AB458" s="24" t="s">
        <v>2461</v>
      </c>
      <c r="AC458" s="24">
        <v>15.2</v>
      </c>
      <c r="AD458" s="24">
        <f t="shared" si="8"/>
        <v>12.799999999999999</v>
      </c>
      <c r="AE458" s="24">
        <f t="shared" si="9"/>
        <v>17.599999999999998</v>
      </c>
      <c r="AF458" s="24"/>
      <c r="AG458" s="351"/>
      <c r="AH458" s="351"/>
      <c r="AI458" s="45" t="s">
        <v>256</v>
      </c>
      <c r="AJ458" s="103"/>
      <c r="AK458" s="103"/>
      <c r="AL458" s="351"/>
      <c r="AM458" s="351"/>
      <c r="AN458" s="46" t="s">
        <v>2561</v>
      </c>
      <c r="AO458" s="46" t="s">
        <v>2472</v>
      </c>
      <c r="AP458" s="46" t="s">
        <v>2405</v>
      </c>
      <c r="AQ458" s="46" t="s">
        <v>37</v>
      </c>
      <c r="AR458" s="47">
        <v>44125</v>
      </c>
      <c r="AS458" s="46" t="s">
        <v>37</v>
      </c>
      <c r="AT458" s="365"/>
      <c r="AU458" s="1107"/>
    </row>
    <row r="459" spans="1:47" ht="54" x14ac:dyDescent="0.25">
      <c r="A459" s="488"/>
      <c r="B459" s="131"/>
      <c r="C459" s="75"/>
      <c r="D459" s="568"/>
      <c r="E459" s="568"/>
      <c r="F459" s="75"/>
      <c r="G459" s="143"/>
      <c r="H459" s="118"/>
      <c r="I459" s="131"/>
      <c r="J459" s="188">
        <v>373</v>
      </c>
      <c r="K459" s="1059" t="s">
        <v>2324</v>
      </c>
      <c r="L459" s="915">
        <v>1361972.7083000001</v>
      </c>
      <c r="M459" s="915">
        <v>5109209.4130999995</v>
      </c>
      <c r="N459" s="118"/>
      <c r="O459" s="118" t="s">
        <v>2497</v>
      </c>
      <c r="P459" s="75" t="s">
        <v>193</v>
      </c>
      <c r="Q459" s="118"/>
      <c r="R459" s="118"/>
      <c r="S459" s="118"/>
      <c r="T459" s="601" t="s">
        <v>2680</v>
      </c>
      <c r="U459" s="24" t="s">
        <v>10</v>
      </c>
      <c r="V459" s="24" t="s">
        <v>10</v>
      </c>
      <c r="W459" s="24" t="s">
        <v>10</v>
      </c>
      <c r="X459" s="24" t="s">
        <v>193</v>
      </c>
      <c r="Y459" s="24" t="s">
        <v>2547</v>
      </c>
      <c r="Z459" s="46" t="s">
        <v>2468</v>
      </c>
      <c r="AA459" s="24">
        <v>1</v>
      </c>
      <c r="AB459" s="24" t="s">
        <v>2462</v>
      </c>
      <c r="AC459" s="24">
        <v>26.5</v>
      </c>
      <c r="AD459" s="24">
        <f t="shared" ref="AD459:AD475" si="10">26.5-4</f>
        <v>22.5</v>
      </c>
      <c r="AE459" s="24">
        <f t="shared" ref="AE459:AE475" si="11">26.5+4</f>
        <v>30.5</v>
      </c>
      <c r="AF459" s="24"/>
      <c r="AG459" s="351"/>
      <c r="AH459" s="351"/>
      <c r="AI459" s="45" t="s">
        <v>256</v>
      </c>
      <c r="AJ459" s="103"/>
      <c r="AK459" s="103"/>
      <c r="AL459" s="351"/>
      <c r="AM459" s="351"/>
      <c r="AN459" s="46" t="s">
        <v>2561</v>
      </c>
      <c r="AO459" s="46" t="s">
        <v>2473</v>
      </c>
      <c r="AP459" s="46" t="s">
        <v>2405</v>
      </c>
      <c r="AQ459" s="46" t="s">
        <v>37</v>
      </c>
      <c r="AR459" s="47">
        <v>44125</v>
      </c>
      <c r="AS459" s="46" t="s">
        <v>37</v>
      </c>
      <c r="AT459" s="365"/>
      <c r="AU459" s="1107"/>
    </row>
    <row r="460" spans="1:47" ht="54" x14ac:dyDescent="0.25">
      <c r="A460" s="488"/>
      <c r="B460" s="131"/>
      <c r="C460" s="75"/>
      <c r="D460" s="568"/>
      <c r="E460" s="568"/>
      <c r="F460" s="75"/>
      <c r="G460" s="143"/>
      <c r="H460" s="118"/>
      <c r="I460" s="131"/>
      <c r="J460" s="188">
        <v>374</v>
      </c>
      <c r="K460" s="1059" t="s">
        <v>2325</v>
      </c>
      <c r="L460" s="915">
        <v>1361950.1958000001</v>
      </c>
      <c r="M460" s="915">
        <v>5109167.4466000004</v>
      </c>
      <c r="N460" s="118"/>
      <c r="O460" s="118" t="s">
        <v>2501</v>
      </c>
      <c r="P460" s="75" t="s">
        <v>193</v>
      </c>
      <c r="Q460" s="118"/>
      <c r="R460" s="118"/>
      <c r="S460" s="118"/>
      <c r="T460" s="601" t="s">
        <v>2684</v>
      </c>
      <c r="U460" s="24" t="s">
        <v>10</v>
      </c>
      <c r="V460" s="24" t="s">
        <v>10</v>
      </c>
      <c r="W460" s="24" t="s">
        <v>10</v>
      </c>
      <c r="X460" s="24" t="s">
        <v>193</v>
      </c>
      <c r="Y460" s="24" t="s">
        <v>2548</v>
      </c>
      <c r="Z460" s="46" t="s">
        <v>2468</v>
      </c>
      <c r="AA460" s="24">
        <v>1</v>
      </c>
      <c r="AB460" s="24" t="s">
        <v>2462</v>
      </c>
      <c r="AC460" s="24">
        <v>26.5</v>
      </c>
      <c r="AD460" s="24">
        <f t="shared" si="10"/>
        <v>22.5</v>
      </c>
      <c r="AE460" s="24">
        <f t="shared" si="11"/>
        <v>30.5</v>
      </c>
      <c r="AF460" s="24"/>
      <c r="AG460" s="351"/>
      <c r="AH460" s="351"/>
      <c r="AI460" s="45" t="s">
        <v>256</v>
      </c>
      <c r="AJ460" s="103"/>
      <c r="AK460" s="103"/>
      <c r="AL460" s="351"/>
      <c r="AM460" s="351"/>
      <c r="AN460" s="46" t="s">
        <v>2561</v>
      </c>
      <c r="AO460" s="46" t="s">
        <v>2473</v>
      </c>
      <c r="AP460" s="46" t="s">
        <v>2405</v>
      </c>
      <c r="AQ460" s="46" t="s">
        <v>37</v>
      </c>
      <c r="AR460" s="47">
        <v>44125</v>
      </c>
      <c r="AS460" s="46" t="s">
        <v>37</v>
      </c>
      <c r="AT460" s="365"/>
      <c r="AU460" s="1107"/>
    </row>
    <row r="461" spans="1:47" ht="54" x14ac:dyDescent="0.25">
      <c r="A461" s="488"/>
      <c r="B461" s="131"/>
      <c r="C461" s="75"/>
      <c r="D461" s="568"/>
      <c r="E461" s="568"/>
      <c r="F461" s="75"/>
      <c r="G461" s="143"/>
      <c r="H461" s="118"/>
      <c r="I461" s="131"/>
      <c r="J461" s="188">
        <v>375</v>
      </c>
      <c r="K461" s="1059" t="s">
        <v>2326</v>
      </c>
      <c r="L461" s="915">
        <v>1361818.6618999999</v>
      </c>
      <c r="M461" s="915">
        <v>5109039.2291999999</v>
      </c>
      <c r="N461" s="118"/>
      <c r="O461" s="118" t="s">
        <v>2497</v>
      </c>
      <c r="P461" s="75" t="s">
        <v>193</v>
      </c>
      <c r="Q461" s="118"/>
      <c r="R461" s="118"/>
      <c r="S461" s="118"/>
      <c r="T461" s="601" t="s">
        <v>2680</v>
      </c>
      <c r="U461" s="24" t="s">
        <v>10</v>
      </c>
      <c r="V461" s="24" t="s">
        <v>10</v>
      </c>
      <c r="W461" s="24" t="s">
        <v>10</v>
      </c>
      <c r="X461" s="24" t="s">
        <v>193</v>
      </c>
      <c r="Y461" s="24" t="s">
        <v>2549</v>
      </c>
      <c r="Z461" s="46" t="s">
        <v>2468</v>
      </c>
      <c r="AA461" s="24">
        <v>1</v>
      </c>
      <c r="AB461" s="24" t="s">
        <v>2462</v>
      </c>
      <c r="AC461" s="24">
        <v>26.5</v>
      </c>
      <c r="AD461" s="24">
        <f t="shared" si="10"/>
        <v>22.5</v>
      </c>
      <c r="AE461" s="24">
        <f t="shared" si="11"/>
        <v>30.5</v>
      </c>
      <c r="AF461" s="24"/>
      <c r="AG461" s="351"/>
      <c r="AH461" s="351"/>
      <c r="AI461" s="45" t="s">
        <v>256</v>
      </c>
      <c r="AJ461" s="103"/>
      <c r="AK461" s="103"/>
      <c r="AL461" s="351"/>
      <c r="AM461" s="351"/>
      <c r="AN461" s="46" t="s">
        <v>2561</v>
      </c>
      <c r="AO461" s="46" t="s">
        <v>2473</v>
      </c>
      <c r="AP461" s="46" t="s">
        <v>2405</v>
      </c>
      <c r="AQ461" s="46" t="s">
        <v>37</v>
      </c>
      <c r="AR461" s="47">
        <v>44125</v>
      </c>
      <c r="AS461" s="46" t="s">
        <v>37</v>
      </c>
      <c r="AT461" s="365"/>
      <c r="AU461" s="1107"/>
    </row>
    <row r="462" spans="1:47" ht="54" x14ac:dyDescent="0.25">
      <c r="A462" s="488"/>
      <c r="B462" s="131"/>
      <c r="C462" s="75"/>
      <c r="D462" s="568"/>
      <c r="E462" s="568"/>
      <c r="F462" s="75"/>
      <c r="G462" s="143"/>
      <c r="H462" s="118"/>
      <c r="I462" s="131"/>
      <c r="J462" s="188">
        <v>376</v>
      </c>
      <c r="K462" s="1059" t="s">
        <v>2327</v>
      </c>
      <c r="L462" s="915">
        <v>1361776.67</v>
      </c>
      <c r="M462" s="915">
        <v>5109004.3419000003</v>
      </c>
      <c r="N462" s="118"/>
      <c r="O462" s="118" t="s">
        <v>2500</v>
      </c>
      <c r="P462" s="75" t="s">
        <v>193</v>
      </c>
      <c r="Q462" s="118"/>
      <c r="R462" s="118"/>
      <c r="S462" s="118"/>
      <c r="T462" s="601" t="s">
        <v>2683</v>
      </c>
      <c r="U462" s="24" t="s">
        <v>10</v>
      </c>
      <c r="V462" s="24" t="s">
        <v>10</v>
      </c>
      <c r="W462" s="24" t="s">
        <v>10</v>
      </c>
      <c r="X462" s="24" t="s">
        <v>193</v>
      </c>
      <c r="Y462" s="24" t="s">
        <v>2550</v>
      </c>
      <c r="Z462" s="46" t="s">
        <v>2468</v>
      </c>
      <c r="AA462" s="24">
        <v>1</v>
      </c>
      <c r="AB462" s="24" t="s">
        <v>2462</v>
      </c>
      <c r="AC462" s="24">
        <v>26.5</v>
      </c>
      <c r="AD462" s="24">
        <f t="shared" si="10"/>
        <v>22.5</v>
      </c>
      <c r="AE462" s="24">
        <f t="shared" si="11"/>
        <v>30.5</v>
      </c>
      <c r="AF462" s="24"/>
      <c r="AG462" s="351"/>
      <c r="AH462" s="351"/>
      <c r="AI462" s="45" t="s">
        <v>256</v>
      </c>
      <c r="AJ462" s="103"/>
      <c r="AK462" s="103"/>
      <c r="AL462" s="351"/>
      <c r="AM462" s="351"/>
      <c r="AN462" s="46" t="s">
        <v>2561</v>
      </c>
      <c r="AO462" s="46" t="s">
        <v>2473</v>
      </c>
      <c r="AP462" s="46" t="s">
        <v>2405</v>
      </c>
      <c r="AQ462" s="46" t="s">
        <v>37</v>
      </c>
      <c r="AR462" s="47">
        <v>44125</v>
      </c>
      <c r="AS462" s="46" t="s">
        <v>37</v>
      </c>
      <c r="AT462" s="365"/>
      <c r="AU462" s="1107"/>
    </row>
    <row r="463" spans="1:47" ht="54" x14ac:dyDescent="0.25">
      <c r="A463" s="488"/>
      <c r="B463" s="131"/>
      <c r="C463" s="75"/>
      <c r="D463" s="568"/>
      <c r="E463" s="568"/>
      <c r="F463" s="75"/>
      <c r="G463" s="143"/>
      <c r="H463" s="118"/>
      <c r="I463" s="131"/>
      <c r="J463" s="188">
        <v>377</v>
      </c>
      <c r="K463" s="1059" t="s">
        <v>2328</v>
      </c>
      <c r="L463" s="915">
        <v>1361676.2102000001</v>
      </c>
      <c r="M463" s="915">
        <v>5108925.0717000002</v>
      </c>
      <c r="N463" s="118"/>
      <c r="O463" s="118" t="s">
        <v>2497</v>
      </c>
      <c r="P463" s="75" t="s">
        <v>193</v>
      </c>
      <c r="Q463" s="118"/>
      <c r="R463" s="118"/>
      <c r="S463" s="118"/>
      <c r="T463" s="601" t="s">
        <v>2680</v>
      </c>
      <c r="U463" s="24" t="s">
        <v>10</v>
      </c>
      <c r="V463" s="24" t="s">
        <v>10</v>
      </c>
      <c r="W463" s="24" t="s">
        <v>10</v>
      </c>
      <c r="X463" s="24" t="s">
        <v>193</v>
      </c>
      <c r="Y463" s="24" t="s">
        <v>2551</v>
      </c>
      <c r="Z463" s="46" t="s">
        <v>2468</v>
      </c>
      <c r="AA463" s="24">
        <v>1</v>
      </c>
      <c r="AB463" s="24" t="s">
        <v>2462</v>
      </c>
      <c r="AC463" s="24">
        <v>26.5</v>
      </c>
      <c r="AD463" s="24">
        <f t="shared" si="10"/>
        <v>22.5</v>
      </c>
      <c r="AE463" s="24">
        <f t="shared" si="11"/>
        <v>30.5</v>
      </c>
      <c r="AF463" s="24"/>
      <c r="AG463" s="351"/>
      <c r="AH463" s="351"/>
      <c r="AI463" s="45" t="s">
        <v>256</v>
      </c>
      <c r="AJ463" s="103"/>
      <c r="AK463" s="103"/>
      <c r="AL463" s="351"/>
      <c r="AM463" s="351"/>
      <c r="AN463" s="46" t="s">
        <v>2561</v>
      </c>
      <c r="AO463" s="46" t="s">
        <v>2473</v>
      </c>
      <c r="AP463" s="46" t="s">
        <v>2405</v>
      </c>
      <c r="AQ463" s="46" t="s">
        <v>37</v>
      </c>
      <c r="AR463" s="47">
        <v>44125</v>
      </c>
      <c r="AS463" s="46" t="s">
        <v>37</v>
      </c>
      <c r="AT463" s="365"/>
      <c r="AU463" s="1107"/>
    </row>
    <row r="464" spans="1:47" ht="54" x14ac:dyDescent="0.25">
      <c r="A464" s="488"/>
      <c r="B464" s="131"/>
      <c r="C464" s="75"/>
      <c r="D464" s="568"/>
      <c r="E464" s="568"/>
      <c r="F464" s="75"/>
      <c r="G464" s="143"/>
      <c r="H464" s="118"/>
      <c r="I464" s="131"/>
      <c r="J464" s="188">
        <v>378</v>
      </c>
      <c r="K464" s="1059" t="s">
        <v>2329</v>
      </c>
      <c r="L464" s="915">
        <v>1361679.6113</v>
      </c>
      <c r="M464" s="915">
        <v>5108919.6338999998</v>
      </c>
      <c r="N464" s="118"/>
      <c r="O464" s="118" t="s">
        <v>2497</v>
      </c>
      <c r="P464" s="75" t="s">
        <v>193</v>
      </c>
      <c r="Q464" s="118"/>
      <c r="R464" s="118"/>
      <c r="S464" s="118"/>
      <c r="T464" s="601" t="s">
        <v>2680</v>
      </c>
      <c r="U464" s="24" t="s">
        <v>10</v>
      </c>
      <c r="V464" s="24" t="s">
        <v>10</v>
      </c>
      <c r="W464" s="24" t="s">
        <v>10</v>
      </c>
      <c r="X464" s="24" t="s">
        <v>193</v>
      </c>
      <c r="Y464" s="24" t="s">
        <v>2552</v>
      </c>
      <c r="Z464" s="46" t="s">
        <v>2468</v>
      </c>
      <c r="AA464" s="24">
        <v>1</v>
      </c>
      <c r="AB464" s="24" t="s">
        <v>2462</v>
      </c>
      <c r="AC464" s="24">
        <v>26.5</v>
      </c>
      <c r="AD464" s="24">
        <f t="shared" si="10"/>
        <v>22.5</v>
      </c>
      <c r="AE464" s="24">
        <f t="shared" si="11"/>
        <v>30.5</v>
      </c>
      <c r="AF464" s="24"/>
      <c r="AG464" s="351"/>
      <c r="AH464" s="351"/>
      <c r="AI464" s="45" t="s">
        <v>256</v>
      </c>
      <c r="AJ464" s="103"/>
      <c r="AK464" s="103"/>
      <c r="AL464" s="351"/>
      <c r="AM464" s="351"/>
      <c r="AN464" s="46" t="s">
        <v>2561</v>
      </c>
      <c r="AO464" s="46" t="s">
        <v>2473</v>
      </c>
      <c r="AP464" s="46" t="s">
        <v>2405</v>
      </c>
      <c r="AQ464" s="46" t="s">
        <v>37</v>
      </c>
      <c r="AR464" s="47">
        <v>44125</v>
      </c>
      <c r="AS464" s="46" t="s">
        <v>37</v>
      </c>
      <c r="AT464" s="365"/>
      <c r="AU464" s="1107"/>
    </row>
    <row r="465" spans="1:47" ht="54" x14ac:dyDescent="0.25">
      <c r="A465" s="488"/>
      <c r="B465" s="131"/>
      <c r="C465" s="75"/>
      <c r="D465" s="568"/>
      <c r="E465" s="568"/>
      <c r="F465" s="75"/>
      <c r="G465" s="143"/>
      <c r="H465" s="118"/>
      <c r="I465" s="131"/>
      <c r="J465" s="188">
        <v>379</v>
      </c>
      <c r="K465" s="1059" t="s">
        <v>2330</v>
      </c>
      <c r="L465" s="915">
        <v>1361652.0203</v>
      </c>
      <c r="M465" s="915">
        <v>5108885.2676999997</v>
      </c>
      <c r="N465" s="118"/>
      <c r="O465" s="118" t="s">
        <v>2497</v>
      </c>
      <c r="P465" s="75" t="s">
        <v>193</v>
      </c>
      <c r="Q465" s="118"/>
      <c r="R465" s="118"/>
      <c r="S465" s="118"/>
      <c r="T465" s="601" t="s">
        <v>2680</v>
      </c>
      <c r="U465" s="24" t="s">
        <v>10</v>
      </c>
      <c r="V465" s="24" t="s">
        <v>10</v>
      </c>
      <c r="W465" s="24" t="s">
        <v>10</v>
      </c>
      <c r="X465" s="24" t="s">
        <v>193</v>
      </c>
      <c r="Y465" s="24" t="s">
        <v>2553</v>
      </c>
      <c r="Z465" s="46" t="s">
        <v>2468</v>
      </c>
      <c r="AA465" s="24">
        <v>1</v>
      </c>
      <c r="AB465" s="24" t="s">
        <v>2462</v>
      </c>
      <c r="AC465" s="24">
        <v>26.5</v>
      </c>
      <c r="AD465" s="24">
        <f t="shared" si="10"/>
        <v>22.5</v>
      </c>
      <c r="AE465" s="24">
        <f t="shared" si="11"/>
        <v>30.5</v>
      </c>
      <c r="AF465" s="24"/>
      <c r="AG465" s="351"/>
      <c r="AH465" s="351"/>
      <c r="AI465" s="45" t="s">
        <v>256</v>
      </c>
      <c r="AJ465" s="103"/>
      <c r="AK465" s="103"/>
      <c r="AL465" s="351"/>
      <c r="AM465" s="351"/>
      <c r="AN465" s="46" t="s">
        <v>2561</v>
      </c>
      <c r="AO465" s="46" t="s">
        <v>2473</v>
      </c>
      <c r="AP465" s="46" t="s">
        <v>2405</v>
      </c>
      <c r="AQ465" s="46" t="s">
        <v>37</v>
      </c>
      <c r="AR465" s="47">
        <v>44125</v>
      </c>
      <c r="AS465" s="46" t="s">
        <v>37</v>
      </c>
      <c r="AT465" s="365"/>
      <c r="AU465" s="1107"/>
    </row>
    <row r="466" spans="1:47" ht="54" x14ac:dyDescent="0.25">
      <c r="A466" s="488"/>
      <c r="B466" s="131"/>
      <c r="C466" s="75"/>
      <c r="D466" s="568"/>
      <c r="E466" s="568"/>
      <c r="F466" s="75"/>
      <c r="G466" s="143"/>
      <c r="H466" s="118"/>
      <c r="I466" s="131"/>
      <c r="J466" s="188">
        <v>380</v>
      </c>
      <c r="K466" s="1059" t="s">
        <v>2331</v>
      </c>
      <c r="L466" s="915">
        <v>1360844.7753000001</v>
      </c>
      <c r="M466" s="915">
        <v>5107140.9122000001</v>
      </c>
      <c r="N466" s="118"/>
      <c r="O466" s="118" t="s">
        <v>2499</v>
      </c>
      <c r="P466" s="75" t="s">
        <v>193</v>
      </c>
      <c r="Q466" s="118"/>
      <c r="R466" s="118"/>
      <c r="S466" s="118"/>
      <c r="T466" s="601" t="s">
        <v>2277</v>
      </c>
      <c r="U466" s="24" t="s">
        <v>10</v>
      </c>
      <c r="V466" s="24" t="s">
        <v>10</v>
      </c>
      <c r="W466" s="24" t="s">
        <v>10</v>
      </c>
      <c r="X466" s="24" t="s">
        <v>193</v>
      </c>
      <c r="Y466" s="24" t="s">
        <v>2554</v>
      </c>
      <c r="Z466" s="46" t="s">
        <v>2468</v>
      </c>
      <c r="AA466" s="24">
        <v>1</v>
      </c>
      <c r="AB466" s="24" t="s">
        <v>2462</v>
      </c>
      <c r="AC466" s="24">
        <v>26.5</v>
      </c>
      <c r="AD466" s="24">
        <f t="shared" si="10"/>
        <v>22.5</v>
      </c>
      <c r="AE466" s="24">
        <f t="shared" si="11"/>
        <v>30.5</v>
      </c>
      <c r="AF466" s="24"/>
      <c r="AG466" s="351"/>
      <c r="AH466" s="351"/>
      <c r="AI466" s="45" t="s">
        <v>256</v>
      </c>
      <c r="AJ466" s="103"/>
      <c r="AK466" s="103"/>
      <c r="AL466" s="351"/>
      <c r="AM466" s="351"/>
      <c r="AN466" s="46" t="s">
        <v>2561</v>
      </c>
      <c r="AO466" s="46" t="s">
        <v>2473</v>
      </c>
      <c r="AP466" s="46" t="s">
        <v>2405</v>
      </c>
      <c r="AQ466" s="46" t="s">
        <v>37</v>
      </c>
      <c r="AR466" s="47">
        <v>44125</v>
      </c>
      <c r="AS466" s="46" t="s">
        <v>37</v>
      </c>
      <c r="AT466" s="365"/>
      <c r="AU466" s="1107"/>
    </row>
    <row r="467" spans="1:47" ht="54" x14ac:dyDescent="0.25">
      <c r="A467" s="488"/>
      <c r="B467" s="131"/>
      <c r="C467" s="75"/>
      <c r="D467" s="568"/>
      <c r="E467" s="568"/>
      <c r="F467" s="75"/>
      <c r="G467" s="143"/>
      <c r="H467" s="118"/>
      <c r="I467" s="131"/>
      <c r="J467" s="188">
        <v>381</v>
      </c>
      <c r="K467" s="1059" t="s">
        <v>2332</v>
      </c>
      <c r="L467" s="915">
        <v>1360850.1714999999</v>
      </c>
      <c r="M467" s="915">
        <v>5107146.6697000004</v>
      </c>
      <c r="N467" s="118"/>
      <c r="O467" s="118" t="s">
        <v>2499</v>
      </c>
      <c r="P467" s="75" t="s">
        <v>193</v>
      </c>
      <c r="Q467" s="118"/>
      <c r="R467" s="118"/>
      <c r="S467" s="118"/>
      <c r="T467" s="601" t="s">
        <v>2277</v>
      </c>
      <c r="U467" s="24" t="s">
        <v>10</v>
      </c>
      <c r="V467" s="24" t="s">
        <v>10</v>
      </c>
      <c r="W467" s="24" t="s">
        <v>10</v>
      </c>
      <c r="X467" s="24" t="s">
        <v>193</v>
      </c>
      <c r="Y467" s="24" t="s">
        <v>2555</v>
      </c>
      <c r="Z467" s="46" t="s">
        <v>2468</v>
      </c>
      <c r="AA467" s="24">
        <v>1</v>
      </c>
      <c r="AB467" s="24" t="s">
        <v>2462</v>
      </c>
      <c r="AC467" s="24">
        <v>26.5</v>
      </c>
      <c r="AD467" s="24">
        <f t="shared" si="10"/>
        <v>22.5</v>
      </c>
      <c r="AE467" s="24">
        <f t="shared" si="11"/>
        <v>30.5</v>
      </c>
      <c r="AF467" s="24"/>
      <c r="AG467" s="351"/>
      <c r="AH467" s="351"/>
      <c r="AI467" s="45" t="s">
        <v>256</v>
      </c>
      <c r="AJ467" s="103"/>
      <c r="AK467" s="103"/>
      <c r="AL467" s="351"/>
      <c r="AM467" s="351"/>
      <c r="AN467" s="46" t="s">
        <v>2561</v>
      </c>
      <c r="AO467" s="46" t="s">
        <v>2473</v>
      </c>
      <c r="AP467" s="46" t="s">
        <v>2405</v>
      </c>
      <c r="AQ467" s="46" t="s">
        <v>37</v>
      </c>
      <c r="AR467" s="47">
        <v>44125</v>
      </c>
      <c r="AS467" s="46" t="s">
        <v>37</v>
      </c>
      <c r="AT467" s="365"/>
      <c r="AU467" s="1107"/>
    </row>
    <row r="468" spans="1:47" ht="54" x14ac:dyDescent="0.25">
      <c r="A468" s="488"/>
      <c r="B468" s="131"/>
      <c r="C468" s="75"/>
      <c r="D468" s="568"/>
      <c r="E468" s="568"/>
      <c r="F468" s="75"/>
      <c r="G468" s="143"/>
      <c r="H468" s="118"/>
      <c r="I468" s="131"/>
      <c r="J468" s="188">
        <v>382</v>
      </c>
      <c r="K468" s="1059" t="s">
        <v>2333</v>
      </c>
      <c r="L468" s="915">
        <v>1360859.6473000001</v>
      </c>
      <c r="M468" s="915">
        <v>5107150.3510999996</v>
      </c>
      <c r="N468" s="118"/>
      <c r="O468" s="118" t="s">
        <v>2500</v>
      </c>
      <c r="P468" s="75" t="s">
        <v>193</v>
      </c>
      <c r="Q468" s="118"/>
      <c r="R468" s="118"/>
      <c r="S468" s="118"/>
      <c r="T468" s="601" t="s">
        <v>2683</v>
      </c>
      <c r="U468" s="24" t="s">
        <v>10</v>
      </c>
      <c r="V468" s="24" t="s">
        <v>10</v>
      </c>
      <c r="W468" s="24" t="s">
        <v>10</v>
      </c>
      <c r="X468" s="24" t="s">
        <v>193</v>
      </c>
      <c r="Y468" s="24" t="s">
        <v>2549</v>
      </c>
      <c r="Z468" s="46" t="s">
        <v>2468</v>
      </c>
      <c r="AA468" s="24">
        <v>1</v>
      </c>
      <c r="AB468" s="24" t="s">
        <v>2462</v>
      </c>
      <c r="AC468" s="24">
        <v>26.5</v>
      </c>
      <c r="AD468" s="24">
        <f t="shared" si="10"/>
        <v>22.5</v>
      </c>
      <c r="AE468" s="24">
        <f t="shared" si="11"/>
        <v>30.5</v>
      </c>
      <c r="AF468" s="24"/>
      <c r="AG468" s="351"/>
      <c r="AH468" s="351"/>
      <c r="AI468" s="45" t="s">
        <v>256</v>
      </c>
      <c r="AJ468" s="103"/>
      <c r="AK468" s="103"/>
      <c r="AL468" s="351"/>
      <c r="AM468" s="351"/>
      <c r="AN468" s="46" t="s">
        <v>2561</v>
      </c>
      <c r="AO468" s="46" t="s">
        <v>2473</v>
      </c>
      <c r="AP468" s="46" t="s">
        <v>2405</v>
      </c>
      <c r="AQ468" s="46" t="s">
        <v>37</v>
      </c>
      <c r="AR468" s="47">
        <v>44125</v>
      </c>
      <c r="AS468" s="46" t="s">
        <v>37</v>
      </c>
      <c r="AT468" s="365"/>
      <c r="AU468" s="1107"/>
    </row>
    <row r="469" spans="1:47" ht="54" x14ac:dyDescent="0.25">
      <c r="A469" s="488"/>
      <c r="B469" s="131"/>
      <c r="C469" s="75"/>
      <c r="D469" s="568"/>
      <c r="E469" s="568"/>
      <c r="F469" s="75"/>
      <c r="G469" s="143"/>
      <c r="H469" s="118"/>
      <c r="I469" s="131"/>
      <c r="J469" s="188">
        <v>383</v>
      </c>
      <c r="K469" s="1059" t="s">
        <v>2334</v>
      </c>
      <c r="L469" s="915">
        <v>1360864.1629000001</v>
      </c>
      <c r="M469" s="915">
        <v>5107158.301</v>
      </c>
      <c r="N469" s="118"/>
      <c r="O469" s="118" t="s">
        <v>2497</v>
      </c>
      <c r="P469" s="75" t="s">
        <v>193</v>
      </c>
      <c r="Q469" s="118"/>
      <c r="R469" s="118"/>
      <c r="S469" s="118"/>
      <c r="T469" s="601" t="s">
        <v>2680</v>
      </c>
      <c r="U469" s="24" t="s">
        <v>10</v>
      </c>
      <c r="V469" s="24" t="s">
        <v>10</v>
      </c>
      <c r="W469" s="24" t="s">
        <v>10</v>
      </c>
      <c r="X469" s="24" t="s">
        <v>193</v>
      </c>
      <c r="Y469" s="24" t="s">
        <v>2556</v>
      </c>
      <c r="Z469" s="46" t="s">
        <v>2468</v>
      </c>
      <c r="AA469" s="24">
        <v>1</v>
      </c>
      <c r="AB469" s="24" t="s">
        <v>2462</v>
      </c>
      <c r="AC469" s="24">
        <v>26.5</v>
      </c>
      <c r="AD469" s="24">
        <f t="shared" si="10"/>
        <v>22.5</v>
      </c>
      <c r="AE469" s="24">
        <f t="shared" si="11"/>
        <v>30.5</v>
      </c>
      <c r="AF469" s="24"/>
      <c r="AG469" s="351"/>
      <c r="AH469" s="351"/>
      <c r="AI469" s="45" t="s">
        <v>256</v>
      </c>
      <c r="AJ469" s="103"/>
      <c r="AK469" s="103"/>
      <c r="AL469" s="351"/>
      <c r="AM469" s="351"/>
      <c r="AN469" s="46" t="s">
        <v>2561</v>
      </c>
      <c r="AO469" s="46" t="s">
        <v>2473</v>
      </c>
      <c r="AP469" s="46" t="s">
        <v>2405</v>
      </c>
      <c r="AQ469" s="46" t="s">
        <v>37</v>
      </c>
      <c r="AR469" s="47">
        <v>44125</v>
      </c>
      <c r="AS469" s="46" t="s">
        <v>37</v>
      </c>
      <c r="AT469" s="365"/>
      <c r="AU469" s="1107"/>
    </row>
    <row r="470" spans="1:47" ht="54" x14ac:dyDescent="0.25">
      <c r="A470" s="488"/>
      <c r="B470" s="131"/>
      <c r="C470" s="75"/>
      <c r="D470" s="568"/>
      <c r="E470" s="568"/>
      <c r="F470" s="75"/>
      <c r="G470" s="143"/>
      <c r="H470" s="118"/>
      <c r="I470" s="131"/>
      <c r="J470" s="188">
        <v>384</v>
      </c>
      <c r="K470" s="1059" t="s">
        <v>2335</v>
      </c>
      <c r="L470" s="915">
        <v>1360871.8776</v>
      </c>
      <c r="M470" s="915">
        <v>5107166.3673</v>
      </c>
      <c r="N470" s="118"/>
      <c r="O470" s="118" t="s">
        <v>2500</v>
      </c>
      <c r="P470" s="75" t="s">
        <v>193</v>
      </c>
      <c r="Q470" s="118"/>
      <c r="R470" s="118"/>
      <c r="S470" s="118"/>
      <c r="T470" s="601" t="s">
        <v>2683</v>
      </c>
      <c r="U470" s="24" t="s">
        <v>10</v>
      </c>
      <c r="V470" s="24" t="s">
        <v>10</v>
      </c>
      <c r="W470" s="24" t="s">
        <v>10</v>
      </c>
      <c r="X470" s="24" t="s">
        <v>193</v>
      </c>
      <c r="Y470" s="24" t="s">
        <v>2557</v>
      </c>
      <c r="Z470" s="46" t="s">
        <v>2468</v>
      </c>
      <c r="AA470" s="24">
        <v>1</v>
      </c>
      <c r="AB470" s="24" t="s">
        <v>2462</v>
      </c>
      <c r="AC470" s="24">
        <v>26.5</v>
      </c>
      <c r="AD470" s="24">
        <f t="shared" si="10"/>
        <v>22.5</v>
      </c>
      <c r="AE470" s="24">
        <f t="shared" si="11"/>
        <v>30.5</v>
      </c>
      <c r="AF470" s="24"/>
      <c r="AG470" s="351"/>
      <c r="AH470" s="351"/>
      <c r="AI470" s="45" t="s">
        <v>256</v>
      </c>
      <c r="AJ470" s="103"/>
      <c r="AK470" s="103"/>
      <c r="AL470" s="351"/>
      <c r="AM470" s="351"/>
      <c r="AN470" s="46" t="s">
        <v>2561</v>
      </c>
      <c r="AO470" s="46" t="s">
        <v>2473</v>
      </c>
      <c r="AP470" s="46" t="s">
        <v>2405</v>
      </c>
      <c r="AQ470" s="46" t="s">
        <v>37</v>
      </c>
      <c r="AR470" s="47">
        <v>44125</v>
      </c>
      <c r="AS470" s="46" t="s">
        <v>37</v>
      </c>
      <c r="AT470" s="365"/>
      <c r="AU470" s="1107"/>
    </row>
    <row r="471" spans="1:47" ht="54" x14ac:dyDescent="0.25">
      <c r="A471" s="488"/>
      <c r="B471" s="131"/>
      <c r="C471" s="75"/>
      <c r="D471" s="568"/>
      <c r="E471" s="568"/>
      <c r="F471" s="75"/>
      <c r="G471" s="143"/>
      <c r="H471" s="118"/>
      <c r="I471" s="131"/>
      <c r="J471" s="188">
        <v>385</v>
      </c>
      <c r="K471" s="1059" t="s">
        <v>2336</v>
      </c>
      <c r="L471" s="915">
        <v>1360843.588</v>
      </c>
      <c r="M471" s="915">
        <v>5107525.6984999999</v>
      </c>
      <c r="N471" s="118"/>
      <c r="O471" s="118" t="s">
        <v>2497</v>
      </c>
      <c r="P471" s="75" t="s">
        <v>193</v>
      </c>
      <c r="Q471" s="118"/>
      <c r="R471" s="118"/>
      <c r="S471" s="118"/>
      <c r="T471" s="601" t="s">
        <v>2680</v>
      </c>
      <c r="U471" s="24" t="s">
        <v>10</v>
      </c>
      <c r="V471" s="24" t="s">
        <v>10</v>
      </c>
      <c r="W471" s="24" t="s">
        <v>10</v>
      </c>
      <c r="X471" s="24" t="s">
        <v>193</v>
      </c>
      <c r="Y471" s="24" t="s">
        <v>2558</v>
      </c>
      <c r="Z471" s="46" t="s">
        <v>2468</v>
      </c>
      <c r="AA471" s="24">
        <v>1</v>
      </c>
      <c r="AB471" s="24" t="s">
        <v>2462</v>
      </c>
      <c r="AC471" s="24">
        <v>26.5</v>
      </c>
      <c r="AD471" s="24">
        <f t="shared" si="10"/>
        <v>22.5</v>
      </c>
      <c r="AE471" s="24">
        <f t="shared" si="11"/>
        <v>30.5</v>
      </c>
      <c r="AF471" s="24"/>
      <c r="AG471" s="351"/>
      <c r="AH471" s="351"/>
      <c r="AI471" s="45" t="s">
        <v>256</v>
      </c>
      <c r="AJ471" s="103"/>
      <c r="AK471" s="103"/>
      <c r="AL471" s="351"/>
      <c r="AM471" s="351"/>
      <c r="AN471" s="46" t="s">
        <v>2561</v>
      </c>
      <c r="AO471" s="46" t="s">
        <v>2473</v>
      </c>
      <c r="AP471" s="46" t="s">
        <v>2405</v>
      </c>
      <c r="AQ471" s="46" t="s">
        <v>37</v>
      </c>
      <c r="AR471" s="47">
        <v>44125</v>
      </c>
      <c r="AS471" s="46" t="s">
        <v>37</v>
      </c>
      <c r="AT471" s="365"/>
      <c r="AU471" s="1107"/>
    </row>
    <row r="472" spans="1:47" ht="54" x14ac:dyDescent="0.25">
      <c r="A472" s="488"/>
      <c r="B472" s="131"/>
      <c r="C472" s="75"/>
      <c r="D472" s="568"/>
      <c r="E472" s="568"/>
      <c r="F472" s="75"/>
      <c r="G472" s="143"/>
      <c r="H472" s="118"/>
      <c r="I472" s="131"/>
      <c r="J472" s="188">
        <v>386</v>
      </c>
      <c r="K472" s="1059" t="s">
        <v>2337</v>
      </c>
      <c r="L472" s="915">
        <v>1360887.9646000001</v>
      </c>
      <c r="M472" s="915">
        <v>5107560.6796000004</v>
      </c>
      <c r="N472" s="118"/>
      <c r="O472" s="118" t="s">
        <v>2498</v>
      </c>
      <c r="P472" s="75" t="s">
        <v>193</v>
      </c>
      <c r="Q472" s="118"/>
      <c r="R472" s="118"/>
      <c r="S472" s="118"/>
      <c r="T472" s="601" t="s">
        <v>2681</v>
      </c>
      <c r="U472" s="24" t="s">
        <v>10</v>
      </c>
      <c r="V472" s="24" t="s">
        <v>10</v>
      </c>
      <c r="W472" s="24" t="s">
        <v>10</v>
      </c>
      <c r="X472" s="24" t="s">
        <v>193</v>
      </c>
      <c r="Y472" s="24" t="s">
        <v>2559</v>
      </c>
      <c r="Z472" s="46" t="s">
        <v>2468</v>
      </c>
      <c r="AA472" s="24">
        <v>1</v>
      </c>
      <c r="AB472" s="24" t="s">
        <v>2462</v>
      </c>
      <c r="AC472" s="24">
        <v>26.5</v>
      </c>
      <c r="AD472" s="24">
        <f t="shared" si="10"/>
        <v>22.5</v>
      </c>
      <c r="AE472" s="24">
        <f t="shared" si="11"/>
        <v>30.5</v>
      </c>
      <c r="AF472" s="24"/>
      <c r="AG472" s="351"/>
      <c r="AH472" s="351"/>
      <c r="AI472" s="45" t="s">
        <v>256</v>
      </c>
      <c r="AJ472" s="103"/>
      <c r="AK472" s="103"/>
      <c r="AL472" s="351"/>
      <c r="AM472" s="351"/>
      <c r="AN472" s="46" t="s">
        <v>2561</v>
      </c>
      <c r="AO472" s="46" t="s">
        <v>2473</v>
      </c>
      <c r="AP472" s="46" t="s">
        <v>2405</v>
      </c>
      <c r="AQ472" s="46" t="s">
        <v>37</v>
      </c>
      <c r="AR472" s="47">
        <v>44125</v>
      </c>
      <c r="AS472" s="46" t="s">
        <v>37</v>
      </c>
      <c r="AT472" s="365"/>
      <c r="AU472" s="1107"/>
    </row>
    <row r="473" spans="1:47" ht="54" x14ac:dyDescent="0.25">
      <c r="A473" s="488"/>
      <c r="B473" s="131"/>
      <c r="C473" s="75"/>
      <c r="D473" s="568"/>
      <c r="E473" s="568"/>
      <c r="F473" s="75"/>
      <c r="G473" s="143"/>
      <c r="H473" s="118"/>
      <c r="I473" s="131"/>
      <c r="J473" s="188">
        <v>387</v>
      </c>
      <c r="K473" s="1059" t="s">
        <v>2338</v>
      </c>
      <c r="L473" s="915">
        <v>1360906.1984999999</v>
      </c>
      <c r="M473" s="915">
        <v>5107565.7917999998</v>
      </c>
      <c r="N473" s="118"/>
      <c r="O473" s="118" t="s">
        <v>2500</v>
      </c>
      <c r="P473" s="75" t="s">
        <v>193</v>
      </c>
      <c r="Q473" s="118"/>
      <c r="R473" s="118"/>
      <c r="S473" s="118"/>
      <c r="T473" s="601" t="s">
        <v>2683</v>
      </c>
      <c r="U473" s="24" t="s">
        <v>10</v>
      </c>
      <c r="V473" s="24" t="s">
        <v>10</v>
      </c>
      <c r="W473" s="24" t="s">
        <v>10</v>
      </c>
      <c r="X473" s="24" t="s">
        <v>193</v>
      </c>
      <c r="Y473" s="24" t="s">
        <v>2585</v>
      </c>
      <c r="Z473" s="46" t="s">
        <v>2468</v>
      </c>
      <c r="AA473" s="24">
        <v>1</v>
      </c>
      <c r="AB473" s="24" t="s">
        <v>2462</v>
      </c>
      <c r="AC473" s="24">
        <v>26.5</v>
      </c>
      <c r="AD473" s="24">
        <f t="shared" si="10"/>
        <v>22.5</v>
      </c>
      <c r="AE473" s="24">
        <f t="shared" si="11"/>
        <v>30.5</v>
      </c>
      <c r="AF473" s="24"/>
      <c r="AG473" s="351"/>
      <c r="AH473" s="351"/>
      <c r="AI473" s="45" t="s">
        <v>256</v>
      </c>
      <c r="AJ473" s="103"/>
      <c r="AK473" s="103"/>
      <c r="AL473" s="351"/>
      <c r="AM473" s="351"/>
      <c r="AN473" s="46" t="s">
        <v>2561</v>
      </c>
      <c r="AO473" s="46" t="s">
        <v>2473</v>
      </c>
      <c r="AP473" s="46" t="s">
        <v>2405</v>
      </c>
      <c r="AQ473" s="46" t="s">
        <v>37</v>
      </c>
      <c r="AR473" s="47">
        <v>44125</v>
      </c>
      <c r="AS473" s="46" t="s">
        <v>37</v>
      </c>
      <c r="AT473" s="365"/>
      <c r="AU473" s="1107"/>
    </row>
    <row r="474" spans="1:47" ht="54" x14ac:dyDescent="0.25">
      <c r="A474" s="488"/>
      <c r="B474" s="131"/>
      <c r="C474" s="75"/>
      <c r="D474" s="568"/>
      <c r="E474" s="568"/>
      <c r="F474" s="75"/>
      <c r="G474" s="143"/>
      <c r="H474" s="118"/>
      <c r="I474" s="131"/>
      <c r="J474" s="188">
        <v>388</v>
      </c>
      <c r="K474" s="1059" t="s">
        <v>2339</v>
      </c>
      <c r="L474" s="915">
        <v>1360922.6643000001</v>
      </c>
      <c r="M474" s="915">
        <v>5107377.3128000004</v>
      </c>
      <c r="N474" s="118"/>
      <c r="O474" s="118" t="s">
        <v>2497</v>
      </c>
      <c r="P474" s="75" t="s">
        <v>193</v>
      </c>
      <c r="Q474" s="118"/>
      <c r="R474" s="118"/>
      <c r="S474" s="118"/>
      <c r="T474" s="601" t="s">
        <v>2680</v>
      </c>
      <c r="U474" s="24" t="s">
        <v>10</v>
      </c>
      <c r="V474" s="24" t="s">
        <v>10</v>
      </c>
      <c r="W474" s="24" t="s">
        <v>10</v>
      </c>
      <c r="X474" s="24" t="s">
        <v>193</v>
      </c>
      <c r="Y474" s="24" t="s">
        <v>2586</v>
      </c>
      <c r="Z474" s="46" t="s">
        <v>2468</v>
      </c>
      <c r="AA474" s="24">
        <v>1</v>
      </c>
      <c r="AB474" s="24" t="s">
        <v>2462</v>
      </c>
      <c r="AC474" s="24">
        <v>26.5</v>
      </c>
      <c r="AD474" s="24">
        <f t="shared" si="10"/>
        <v>22.5</v>
      </c>
      <c r="AE474" s="24">
        <f t="shared" si="11"/>
        <v>30.5</v>
      </c>
      <c r="AF474" s="24"/>
      <c r="AG474" s="351"/>
      <c r="AH474" s="351"/>
      <c r="AI474" s="45" t="s">
        <v>256</v>
      </c>
      <c r="AJ474" s="103"/>
      <c r="AK474" s="103"/>
      <c r="AL474" s="351"/>
      <c r="AM474" s="351"/>
      <c r="AN474" s="46" t="s">
        <v>2561</v>
      </c>
      <c r="AO474" s="46" t="s">
        <v>2473</v>
      </c>
      <c r="AP474" s="46" t="s">
        <v>2405</v>
      </c>
      <c r="AQ474" s="46" t="s">
        <v>37</v>
      </c>
      <c r="AR474" s="47">
        <v>44125</v>
      </c>
      <c r="AS474" s="46" t="s">
        <v>37</v>
      </c>
      <c r="AT474" s="365"/>
      <c r="AU474" s="1107"/>
    </row>
    <row r="475" spans="1:47" ht="54" x14ac:dyDescent="0.25">
      <c r="A475" s="488"/>
      <c r="B475" s="131"/>
      <c r="C475" s="75"/>
      <c r="D475" s="568"/>
      <c r="E475" s="568"/>
      <c r="F475" s="75"/>
      <c r="G475" s="143"/>
      <c r="H475" s="118"/>
      <c r="I475" s="131"/>
      <c r="J475" s="188">
        <v>389</v>
      </c>
      <c r="K475" s="1059" t="s">
        <v>2340</v>
      </c>
      <c r="L475" s="915">
        <v>1360927.3418000001</v>
      </c>
      <c r="M475" s="915">
        <v>5107380.8196</v>
      </c>
      <c r="N475" s="118"/>
      <c r="O475" s="118" t="s">
        <v>2564</v>
      </c>
      <c r="P475" s="75" t="s">
        <v>193</v>
      </c>
      <c r="Q475" s="118"/>
      <c r="R475" s="118"/>
      <c r="S475" s="118"/>
      <c r="T475" s="601" t="s">
        <v>2685</v>
      </c>
      <c r="U475" s="24" t="s">
        <v>10</v>
      </c>
      <c r="V475" s="24" t="s">
        <v>10</v>
      </c>
      <c r="W475" s="24" t="s">
        <v>10</v>
      </c>
      <c r="X475" s="24" t="s">
        <v>193</v>
      </c>
      <c r="Y475" s="24" t="s">
        <v>2587</v>
      </c>
      <c r="Z475" s="46" t="s">
        <v>2468</v>
      </c>
      <c r="AA475" s="24">
        <v>1</v>
      </c>
      <c r="AB475" s="24" t="s">
        <v>2462</v>
      </c>
      <c r="AC475" s="24">
        <v>26.5</v>
      </c>
      <c r="AD475" s="24">
        <f t="shared" si="10"/>
        <v>22.5</v>
      </c>
      <c r="AE475" s="24">
        <f t="shared" si="11"/>
        <v>30.5</v>
      </c>
      <c r="AF475" s="24"/>
      <c r="AG475" s="351"/>
      <c r="AH475" s="351"/>
      <c r="AI475" s="45" t="s">
        <v>256</v>
      </c>
      <c r="AJ475" s="103"/>
      <c r="AK475" s="103"/>
      <c r="AL475" s="351"/>
      <c r="AM475" s="351"/>
      <c r="AN475" s="46" t="s">
        <v>2561</v>
      </c>
      <c r="AO475" s="46" t="s">
        <v>2473</v>
      </c>
      <c r="AP475" s="46" t="s">
        <v>2405</v>
      </c>
      <c r="AQ475" s="46" t="s">
        <v>37</v>
      </c>
      <c r="AR475" s="47">
        <v>44125</v>
      </c>
      <c r="AS475" s="46" t="s">
        <v>37</v>
      </c>
      <c r="AT475" s="365"/>
      <c r="AU475" s="1107"/>
    </row>
    <row r="476" spans="1:47" ht="54" x14ac:dyDescent="0.25">
      <c r="A476" s="488"/>
      <c r="B476" s="131"/>
      <c r="C476" s="75"/>
      <c r="D476" s="568"/>
      <c r="E476" s="568"/>
      <c r="F476" s="75"/>
      <c r="G476" s="143"/>
      <c r="H476" s="118"/>
      <c r="I476" s="131"/>
      <c r="J476" s="188">
        <v>390</v>
      </c>
      <c r="K476" s="1059" t="s">
        <v>2341</v>
      </c>
      <c r="L476" s="915">
        <v>1360937.4964000001</v>
      </c>
      <c r="M476" s="915">
        <v>5107938.4123</v>
      </c>
      <c r="N476" s="118"/>
      <c r="O476" s="118" t="s">
        <v>2565</v>
      </c>
      <c r="P476" s="75" t="s">
        <v>193</v>
      </c>
      <c r="Q476" s="118"/>
      <c r="R476" s="118"/>
      <c r="S476" s="118"/>
      <c r="T476" s="601" t="s">
        <v>2686</v>
      </c>
      <c r="U476" s="24" t="s">
        <v>10</v>
      </c>
      <c r="V476" s="24" t="s">
        <v>16</v>
      </c>
      <c r="W476" s="24" t="s">
        <v>16</v>
      </c>
      <c r="X476" s="24" t="s">
        <v>193</v>
      </c>
      <c r="Y476" s="24" t="s">
        <v>2588</v>
      </c>
      <c r="Z476" s="46" t="s">
        <v>2468</v>
      </c>
      <c r="AA476" s="24">
        <v>1</v>
      </c>
      <c r="AB476" s="24" t="s">
        <v>2463</v>
      </c>
      <c r="AC476" s="24">
        <f>AD476+(AE476-AD476)/2</f>
        <v>89</v>
      </c>
      <c r="AD476" s="24">
        <v>73</v>
      </c>
      <c r="AE476" s="24">
        <v>105</v>
      </c>
      <c r="AF476" s="24"/>
      <c r="AG476" s="351"/>
      <c r="AH476" s="351"/>
      <c r="AI476" s="45" t="s">
        <v>256</v>
      </c>
      <c r="AJ476" s="103"/>
      <c r="AK476" s="103"/>
      <c r="AL476" s="351"/>
      <c r="AM476" s="351"/>
      <c r="AN476" s="46" t="s">
        <v>2561</v>
      </c>
      <c r="AO476" s="46" t="s">
        <v>2475</v>
      </c>
      <c r="AP476" s="46" t="s">
        <v>2405</v>
      </c>
      <c r="AQ476" s="46" t="s">
        <v>37</v>
      </c>
      <c r="AR476" s="47">
        <v>44125</v>
      </c>
      <c r="AS476" s="46" t="s">
        <v>37</v>
      </c>
      <c r="AT476" s="365"/>
      <c r="AU476" s="1107"/>
    </row>
    <row r="477" spans="1:47" ht="54" x14ac:dyDescent="0.25">
      <c r="A477" s="488"/>
      <c r="B477" s="131"/>
      <c r="C477" s="75"/>
      <c r="D477" s="568"/>
      <c r="E477" s="568"/>
      <c r="F477" s="75"/>
      <c r="G477" s="143"/>
      <c r="H477" s="118"/>
      <c r="I477" s="131"/>
      <c r="J477" s="188">
        <v>391</v>
      </c>
      <c r="K477" s="1059" t="s">
        <v>2342</v>
      </c>
      <c r="L477" s="915">
        <v>1363559.8988000001</v>
      </c>
      <c r="M477" s="915">
        <v>5111607.8113000002</v>
      </c>
      <c r="N477" s="118"/>
      <c r="O477" s="118" t="s">
        <v>2488</v>
      </c>
      <c r="P477" s="75" t="s">
        <v>193</v>
      </c>
      <c r="Q477" s="118"/>
      <c r="R477" s="118"/>
      <c r="S477" s="118"/>
      <c r="T477" s="601" t="s">
        <v>2670</v>
      </c>
      <c r="U477" s="24" t="s">
        <v>10</v>
      </c>
      <c r="V477" s="24" t="s">
        <v>10</v>
      </c>
      <c r="W477" s="24" t="s">
        <v>10</v>
      </c>
      <c r="X477" s="24" t="s">
        <v>193</v>
      </c>
      <c r="Y477" s="24" t="s">
        <v>2589</v>
      </c>
      <c r="Z477" s="46" t="s">
        <v>2468</v>
      </c>
      <c r="AA477" s="24">
        <v>1</v>
      </c>
      <c r="AB477" s="24" t="s">
        <v>2462</v>
      </c>
      <c r="AC477" s="24">
        <v>26.5</v>
      </c>
      <c r="AD477" s="24">
        <f t="shared" ref="AD477:AD482" si="12">26.5-4</f>
        <v>22.5</v>
      </c>
      <c r="AE477" s="24">
        <f t="shared" ref="AE477:AE482" si="13">26.5+4</f>
        <v>30.5</v>
      </c>
      <c r="AF477" s="24"/>
      <c r="AG477" s="351"/>
      <c r="AH477" s="351"/>
      <c r="AI477" s="45" t="s">
        <v>256</v>
      </c>
      <c r="AJ477" s="103"/>
      <c r="AK477" s="103"/>
      <c r="AL477" s="351"/>
      <c r="AM477" s="351"/>
      <c r="AN477" s="46" t="s">
        <v>2561</v>
      </c>
      <c r="AO477" s="46" t="s">
        <v>2473</v>
      </c>
      <c r="AP477" s="46" t="s">
        <v>2405</v>
      </c>
      <c r="AQ477" s="46" t="s">
        <v>37</v>
      </c>
      <c r="AR477" s="47">
        <v>44125</v>
      </c>
      <c r="AS477" s="46" t="s">
        <v>37</v>
      </c>
      <c r="AT477" s="365"/>
      <c r="AU477" s="1107"/>
    </row>
    <row r="478" spans="1:47" ht="54" x14ac:dyDescent="0.25">
      <c r="A478" s="488"/>
      <c r="B478" s="131"/>
      <c r="C478" s="75"/>
      <c r="D478" s="568"/>
      <c r="E478" s="568"/>
      <c r="F478" s="75"/>
      <c r="G478" s="143"/>
      <c r="H478" s="118"/>
      <c r="I478" s="131"/>
      <c r="J478" s="188">
        <v>392</v>
      </c>
      <c r="K478" s="1059" t="s">
        <v>2343</v>
      </c>
      <c r="L478" s="915">
        <v>1363600.9176</v>
      </c>
      <c r="M478" s="915">
        <v>5111648.2110000001</v>
      </c>
      <c r="N478" s="118"/>
      <c r="O478" s="118" t="s">
        <v>2498</v>
      </c>
      <c r="P478" s="75" t="s">
        <v>193</v>
      </c>
      <c r="Q478" s="118"/>
      <c r="R478" s="118"/>
      <c r="S478" s="118"/>
      <c r="T478" s="601" t="s">
        <v>2681</v>
      </c>
      <c r="U478" s="24" t="s">
        <v>10</v>
      </c>
      <c r="V478" s="24" t="s">
        <v>10</v>
      </c>
      <c r="W478" s="24" t="s">
        <v>10</v>
      </c>
      <c r="X478" s="24" t="s">
        <v>193</v>
      </c>
      <c r="Y478" s="24" t="s">
        <v>2590</v>
      </c>
      <c r="Z478" s="46" t="s">
        <v>2468</v>
      </c>
      <c r="AA478" s="24">
        <v>1</v>
      </c>
      <c r="AB478" s="24" t="s">
        <v>2462</v>
      </c>
      <c r="AC478" s="24">
        <v>26.5</v>
      </c>
      <c r="AD478" s="24">
        <f t="shared" si="12"/>
        <v>22.5</v>
      </c>
      <c r="AE478" s="24">
        <f t="shared" si="13"/>
        <v>30.5</v>
      </c>
      <c r="AF478" s="24"/>
      <c r="AG478" s="351"/>
      <c r="AH478" s="351"/>
      <c r="AI478" s="45" t="s">
        <v>256</v>
      </c>
      <c r="AJ478" s="103"/>
      <c r="AK478" s="103"/>
      <c r="AL478" s="351"/>
      <c r="AM478" s="351"/>
      <c r="AN478" s="46" t="s">
        <v>2561</v>
      </c>
      <c r="AO478" s="46" t="s">
        <v>2473</v>
      </c>
      <c r="AP478" s="46" t="s">
        <v>2405</v>
      </c>
      <c r="AQ478" s="46" t="s">
        <v>37</v>
      </c>
      <c r="AR478" s="47">
        <v>44125</v>
      </c>
      <c r="AS478" s="46" t="s">
        <v>37</v>
      </c>
      <c r="AT478" s="365"/>
      <c r="AU478" s="1107"/>
    </row>
    <row r="479" spans="1:47" ht="54" x14ac:dyDescent="0.25">
      <c r="A479" s="488"/>
      <c r="B479" s="131"/>
      <c r="C479" s="75"/>
      <c r="D479" s="568"/>
      <c r="E479" s="568"/>
      <c r="F479" s="75"/>
      <c r="G479" s="143"/>
      <c r="H479" s="118"/>
      <c r="I479" s="131"/>
      <c r="J479" s="188">
        <v>393</v>
      </c>
      <c r="K479" s="1059" t="s">
        <v>2344</v>
      </c>
      <c r="L479" s="915">
        <v>1363663.2231000001</v>
      </c>
      <c r="M479" s="915">
        <v>5111676.0286999997</v>
      </c>
      <c r="N479" s="118"/>
      <c r="O479" s="118" t="s">
        <v>2498</v>
      </c>
      <c r="P479" s="75" t="s">
        <v>193</v>
      </c>
      <c r="Q479" s="118"/>
      <c r="R479" s="118"/>
      <c r="S479" s="118"/>
      <c r="T479" s="601" t="s">
        <v>2681</v>
      </c>
      <c r="U479" s="24" t="s">
        <v>10</v>
      </c>
      <c r="V479" s="24" t="s">
        <v>10</v>
      </c>
      <c r="W479" s="24" t="s">
        <v>10</v>
      </c>
      <c r="X479" s="24" t="s">
        <v>193</v>
      </c>
      <c r="Y479" s="24" t="s">
        <v>2591</v>
      </c>
      <c r="Z479" s="46" t="s">
        <v>2468</v>
      </c>
      <c r="AA479" s="24">
        <v>1</v>
      </c>
      <c r="AB479" s="24" t="s">
        <v>2462</v>
      </c>
      <c r="AC479" s="24">
        <v>26.5</v>
      </c>
      <c r="AD479" s="24">
        <f t="shared" si="12"/>
        <v>22.5</v>
      </c>
      <c r="AE479" s="24">
        <f t="shared" si="13"/>
        <v>30.5</v>
      </c>
      <c r="AF479" s="24"/>
      <c r="AG479" s="351"/>
      <c r="AH479" s="351"/>
      <c r="AI479" s="45" t="s">
        <v>256</v>
      </c>
      <c r="AJ479" s="103"/>
      <c r="AK479" s="103"/>
      <c r="AL479" s="351"/>
      <c r="AM479" s="351"/>
      <c r="AN479" s="46" t="s">
        <v>2561</v>
      </c>
      <c r="AO479" s="46" t="s">
        <v>2473</v>
      </c>
      <c r="AP479" s="46" t="s">
        <v>2405</v>
      </c>
      <c r="AQ479" s="46" t="s">
        <v>37</v>
      </c>
      <c r="AR479" s="47">
        <v>44125</v>
      </c>
      <c r="AS479" s="46" t="s">
        <v>37</v>
      </c>
      <c r="AT479" s="365"/>
      <c r="AU479" s="1107"/>
    </row>
    <row r="480" spans="1:47" ht="54" x14ac:dyDescent="0.25">
      <c r="A480" s="488"/>
      <c r="B480" s="131"/>
      <c r="C480" s="75"/>
      <c r="D480" s="568"/>
      <c r="E480" s="568"/>
      <c r="F480" s="75"/>
      <c r="G480" s="143"/>
      <c r="H480" s="118"/>
      <c r="I480" s="131"/>
      <c r="J480" s="188">
        <v>394</v>
      </c>
      <c r="K480" s="1059" t="s">
        <v>2345</v>
      </c>
      <c r="L480" s="915">
        <v>1363676.1927</v>
      </c>
      <c r="M480" s="915">
        <v>5111716.5329</v>
      </c>
      <c r="N480" s="118"/>
      <c r="O480" s="118" t="s">
        <v>2498</v>
      </c>
      <c r="P480" s="75" t="s">
        <v>193</v>
      </c>
      <c r="Q480" s="118"/>
      <c r="R480" s="118"/>
      <c r="S480" s="118"/>
      <c r="T480" s="601" t="s">
        <v>2681</v>
      </c>
      <c r="U480" s="24" t="s">
        <v>10</v>
      </c>
      <c r="V480" s="24" t="s">
        <v>10</v>
      </c>
      <c r="W480" s="24" t="s">
        <v>10</v>
      </c>
      <c r="X480" s="24" t="s">
        <v>193</v>
      </c>
      <c r="Y480" s="24" t="s">
        <v>2592</v>
      </c>
      <c r="Z480" s="46" t="s">
        <v>2468</v>
      </c>
      <c r="AA480" s="24">
        <v>1</v>
      </c>
      <c r="AB480" s="24" t="s">
        <v>2462</v>
      </c>
      <c r="AC480" s="24">
        <v>26.5</v>
      </c>
      <c r="AD480" s="24">
        <f t="shared" si="12"/>
        <v>22.5</v>
      </c>
      <c r="AE480" s="24">
        <f t="shared" si="13"/>
        <v>30.5</v>
      </c>
      <c r="AF480" s="24"/>
      <c r="AG480" s="351"/>
      <c r="AH480" s="351"/>
      <c r="AI480" s="45" t="s">
        <v>256</v>
      </c>
      <c r="AJ480" s="103"/>
      <c r="AK480" s="103"/>
      <c r="AL480" s="351"/>
      <c r="AM480" s="351"/>
      <c r="AN480" s="46" t="s">
        <v>2561</v>
      </c>
      <c r="AO480" s="46" t="s">
        <v>2473</v>
      </c>
      <c r="AP480" s="46" t="s">
        <v>2405</v>
      </c>
      <c r="AQ480" s="46" t="s">
        <v>37</v>
      </c>
      <c r="AR480" s="47">
        <v>44125</v>
      </c>
      <c r="AS480" s="46" t="s">
        <v>37</v>
      </c>
      <c r="AT480" s="365"/>
      <c r="AU480" s="1107"/>
    </row>
    <row r="481" spans="1:47" ht="54" x14ac:dyDescent="0.25">
      <c r="A481" s="488"/>
      <c r="B481" s="131"/>
      <c r="C481" s="75"/>
      <c r="D481" s="568"/>
      <c r="E481" s="568"/>
      <c r="F481" s="75"/>
      <c r="G481" s="143"/>
      <c r="H481" s="118"/>
      <c r="I481" s="131"/>
      <c r="J481" s="188">
        <v>395</v>
      </c>
      <c r="K481" s="1059" t="s">
        <v>2346</v>
      </c>
      <c r="L481" s="915">
        <v>1363694.7671999999</v>
      </c>
      <c r="M481" s="915">
        <v>5111779.4818000002</v>
      </c>
      <c r="N481" s="118"/>
      <c r="O481" s="118" t="s">
        <v>2498</v>
      </c>
      <c r="P481" s="75" t="s">
        <v>193</v>
      </c>
      <c r="Q481" s="118"/>
      <c r="R481" s="118"/>
      <c r="S481" s="118"/>
      <c r="T481" s="601" t="s">
        <v>2681</v>
      </c>
      <c r="U481" s="24" t="s">
        <v>10</v>
      </c>
      <c r="V481" s="24" t="s">
        <v>10</v>
      </c>
      <c r="W481" s="24" t="s">
        <v>10</v>
      </c>
      <c r="X481" s="24" t="s">
        <v>193</v>
      </c>
      <c r="Y481" s="24" t="s">
        <v>2593</v>
      </c>
      <c r="Z481" s="46" t="s">
        <v>2468</v>
      </c>
      <c r="AA481" s="24">
        <v>1</v>
      </c>
      <c r="AB481" s="24" t="s">
        <v>2462</v>
      </c>
      <c r="AC481" s="24">
        <v>26.5</v>
      </c>
      <c r="AD481" s="24">
        <f t="shared" si="12"/>
        <v>22.5</v>
      </c>
      <c r="AE481" s="24">
        <f t="shared" si="13"/>
        <v>30.5</v>
      </c>
      <c r="AF481" s="24"/>
      <c r="AG481" s="351"/>
      <c r="AH481" s="351"/>
      <c r="AI481" s="45" t="s">
        <v>256</v>
      </c>
      <c r="AJ481" s="103"/>
      <c r="AK481" s="103"/>
      <c r="AL481" s="351"/>
      <c r="AM481" s="351"/>
      <c r="AN481" s="46" t="s">
        <v>2561</v>
      </c>
      <c r="AO481" s="46" t="s">
        <v>2473</v>
      </c>
      <c r="AP481" s="46" t="s">
        <v>2405</v>
      </c>
      <c r="AQ481" s="46" t="s">
        <v>37</v>
      </c>
      <c r="AR481" s="47">
        <v>44125</v>
      </c>
      <c r="AS481" s="46" t="s">
        <v>37</v>
      </c>
      <c r="AT481" s="365"/>
      <c r="AU481" s="1107"/>
    </row>
    <row r="482" spans="1:47" ht="54" x14ac:dyDescent="0.25">
      <c r="A482" s="488"/>
      <c r="B482" s="131"/>
      <c r="C482" s="75"/>
      <c r="D482" s="568"/>
      <c r="E482" s="568"/>
      <c r="F482" s="75"/>
      <c r="G482" s="143"/>
      <c r="H482" s="118"/>
      <c r="I482" s="131"/>
      <c r="J482" s="188">
        <v>396</v>
      </c>
      <c r="K482" s="1059" t="s">
        <v>2347</v>
      </c>
      <c r="L482" s="915">
        <v>1364137.2611</v>
      </c>
      <c r="M482" s="915">
        <v>5111819.8211000003</v>
      </c>
      <c r="N482" s="118"/>
      <c r="O482" s="118" t="s">
        <v>2488</v>
      </c>
      <c r="P482" s="75" t="s">
        <v>193</v>
      </c>
      <c r="Q482" s="118"/>
      <c r="R482" s="118"/>
      <c r="S482" s="118"/>
      <c r="T482" s="601" t="s">
        <v>2670</v>
      </c>
      <c r="U482" s="24" t="s">
        <v>10</v>
      </c>
      <c r="V482" s="24" t="s">
        <v>10</v>
      </c>
      <c r="W482" s="24" t="s">
        <v>10</v>
      </c>
      <c r="X482" s="24" t="s">
        <v>193</v>
      </c>
      <c r="Y482" s="24" t="s">
        <v>2594</v>
      </c>
      <c r="Z482" s="46" t="s">
        <v>2468</v>
      </c>
      <c r="AA482" s="24">
        <v>1</v>
      </c>
      <c r="AB482" s="24" t="s">
        <v>2462</v>
      </c>
      <c r="AC482" s="24">
        <v>26.5</v>
      </c>
      <c r="AD482" s="24">
        <f t="shared" si="12"/>
        <v>22.5</v>
      </c>
      <c r="AE482" s="24">
        <f t="shared" si="13"/>
        <v>30.5</v>
      </c>
      <c r="AF482" s="24"/>
      <c r="AG482" s="351"/>
      <c r="AH482" s="351"/>
      <c r="AI482" s="45" t="s">
        <v>256</v>
      </c>
      <c r="AJ482" s="103"/>
      <c r="AK482" s="103"/>
      <c r="AL482" s="351"/>
      <c r="AM482" s="351"/>
      <c r="AN482" s="46" t="s">
        <v>2561</v>
      </c>
      <c r="AO482" s="46" t="s">
        <v>2473</v>
      </c>
      <c r="AP482" s="46" t="s">
        <v>2405</v>
      </c>
      <c r="AQ482" s="46" t="s">
        <v>37</v>
      </c>
      <c r="AR482" s="47">
        <v>44125</v>
      </c>
      <c r="AS482" s="46" t="s">
        <v>37</v>
      </c>
      <c r="AT482" s="365"/>
      <c r="AU482" s="1107"/>
    </row>
    <row r="483" spans="1:47" ht="54" x14ac:dyDescent="0.25">
      <c r="A483" s="488"/>
      <c r="B483" s="131"/>
      <c r="C483" s="75"/>
      <c r="D483" s="568"/>
      <c r="E483" s="568"/>
      <c r="F483" s="75"/>
      <c r="G483" s="143"/>
      <c r="H483" s="118"/>
      <c r="I483" s="131"/>
      <c r="J483" s="188">
        <v>397</v>
      </c>
      <c r="K483" s="1059" t="s">
        <v>2348</v>
      </c>
      <c r="L483" s="915">
        <v>1364234.4841</v>
      </c>
      <c r="M483" s="915">
        <v>5111946.7553000003</v>
      </c>
      <c r="N483" s="118"/>
      <c r="O483" s="118" t="s">
        <v>2488</v>
      </c>
      <c r="P483" s="75" t="s">
        <v>193</v>
      </c>
      <c r="Q483" s="118"/>
      <c r="R483" s="118"/>
      <c r="S483" s="118"/>
      <c r="T483" s="601" t="s">
        <v>2670</v>
      </c>
      <c r="U483" s="24" t="s">
        <v>10</v>
      </c>
      <c r="V483" s="24" t="s">
        <v>10</v>
      </c>
      <c r="W483" s="24" t="s">
        <v>10</v>
      </c>
      <c r="X483" s="24" t="s">
        <v>193</v>
      </c>
      <c r="Y483" s="24" t="s">
        <v>2595</v>
      </c>
      <c r="Z483" s="46" t="s">
        <v>2468</v>
      </c>
      <c r="AA483" s="24">
        <v>1</v>
      </c>
      <c r="AB483" s="24" t="s">
        <v>2461</v>
      </c>
      <c r="AC483" s="24">
        <v>15.2</v>
      </c>
      <c r="AD483" s="24">
        <f t="shared" ref="AD483:AD494" si="14">15.2-2.4</f>
        <v>12.799999999999999</v>
      </c>
      <c r="AE483" s="24">
        <f t="shared" ref="AE483:AE494" si="15">15.2+2.4</f>
        <v>17.599999999999998</v>
      </c>
      <c r="AF483" s="24"/>
      <c r="AG483" s="351"/>
      <c r="AH483" s="351"/>
      <c r="AI483" s="45" t="s">
        <v>256</v>
      </c>
      <c r="AJ483" s="103"/>
      <c r="AK483" s="103"/>
      <c r="AL483" s="351"/>
      <c r="AM483" s="351"/>
      <c r="AN483" s="46" t="s">
        <v>2561</v>
      </c>
      <c r="AO483" s="46" t="s">
        <v>2472</v>
      </c>
      <c r="AP483" s="46" t="s">
        <v>2405</v>
      </c>
      <c r="AQ483" s="46" t="s">
        <v>37</v>
      </c>
      <c r="AR483" s="47">
        <v>44125</v>
      </c>
      <c r="AS483" s="46" t="s">
        <v>37</v>
      </c>
      <c r="AT483" s="365"/>
      <c r="AU483" s="1107"/>
    </row>
    <row r="484" spans="1:47" ht="54" x14ac:dyDescent="0.25">
      <c r="A484" s="488"/>
      <c r="B484" s="131"/>
      <c r="C484" s="75"/>
      <c r="D484" s="568"/>
      <c r="E484" s="568"/>
      <c r="F484" s="75"/>
      <c r="G484" s="143"/>
      <c r="H484" s="118"/>
      <c r="I484" s="131"/>
      <c r="J484" s="188">
        <v>398</v>
      </c>
      <c r="K484" s="1059" t="s">
        <v>2349</v>
      </c>
      <c r="L484" s="915">
        <v>1364283.0796000001</v>
      </c>
      <c r="M484" s="915">
        <v>5112021.8990000002</v>
      </c>
      <c r="N484" s="118"/>
      <c r="O484" s="118" t="s">
        <v>2498</v>
      </c>
      <c r="P484" s="75" t="s">
        <v>193</v>
      </c>
      <c r="Q484" s="118"/>
      <c r="R484" s="118"/>
      <c r="S484" s="118"/>
      <c r="T484" s="601" t="s">
        <v>2681</v>
      </c>
      <c r="U484" s="24" t="s">
        <v>10</v>
      </c>
      <c r="V484" s="24" t="s">
        <v>10</v>
      </c>
      <c r="W484" s="24" t="s">
        <v>10</v>
      </c>
      <c r="X484" s="24" t="s">
        <v>193</v>
      </c>
      <c r="Y484" s="24" t="s">
        <v>2596</v>
      </c>
      <c r="Z484" s="46" t="s">
        <v>2468</v>
      </c>
      <c r="AA484" s="24">
        <v>1</v>
      </c>
      <c r="AB484" s="24" t="s">
        <v>2461</v>
      </c>
      <c r="AC484" s="24">
        <v>15.2</v>
      </c>
      <c r="AD484" s="24">
        <f t="shared" si="14"/>
        <v>12.799999999999999</v>
      </c>
      <c r="AE484" s="24">
        <f t="shared" si="15"/>
        <v>17.599999999999998</v>
      </c>
      <c r="AF484" s="24"/>
      <c r="AG484" s="351"/>
      <c r="AH484" s="351"/>
      <c r="AI484" s="45" t="s">
        <v>256</v>
      </c>
      <c r="AJ484" s="103"/>
      <c r="AK484" s="103"/>
      <c r="AL484" s="351"/>
      <c r="AM484" s="351"/>
      <c r="AN484" s="46" t="s">
        <v>2561</v>
      </c>
      <c r="AO484" s="46" t="s">
        <v>2472</v>
      </c>
      <c r="AP484" s="46" t="s">
        <v>2405</v>
      </c>
      <c r="AQ484" s="46" t="s">
        <v>37</v>
      </c>
      <c r="AR484" s="47">
        <v>44125</v>
      </c>
      <c r="AS484" s="46" t="s">
        <v>37</v>
      </c>
      <c r="AT484" s="365"/>
      <c r="AU484" s="1107"/>
    </row>
    <row r="485" spans="1:47" ht="54" x14ac:dyDescent="0.25">
      <c r="A485" s="488"/>
      <c r="B485" s="131"/>
      <c r="C485" s="75"/>
      <c r="D485" s="568"/>
      <c r="E485" s="568"/>
      <c r="F485" s="75"/>
      <c r="G485" s="143"/>
      <c r="H485" s="118"/>
      <c r="I485" s="131"/>
      <c r="J485" s="188">
        <v>399</v>
      </c>
      <c r="K485" s="1059" t="s">
        <v>2350</v>
      </c>
      <c r="L485" s="915">
        <v>1364292.6137999999</v>
      </c>
      <c r="M485" s="915">
        <v>5112068.9516000003</v>
      </c>
      <c r="N485" s="118"/>
      <c r="O485" s="118" t="s">
        <v>2566</v>
      </c>
      <c r="P485" s="75" t="s">
        <v>193</v>
      </c>
      <c r="Q485" s="118"/>
      <c r="R485" s="118"/>
      <c r="S485" s="118"/>
      <c r="T485" s="601" t="s">
        <v>2687</v>
      </c>
      <c r="U485" s="24" t="s">
        <v>10</v>
      </c>
      <c r="V485" s="24" t="s">
        <v>10</v>
      </c>
      <c r="W485" s="24" t="s">
        <v>10</v>
      </c>
      <c r="X485" s="24" t="s">
        <v>193</v>
      </c>
      <c r="Y485" s="24" t="s">
        <v>2597</v>
      </c>
      <c r="Z485" s="46" t="s">
        <v>2468</v>
      </c>
      <c r="AA485" s="24">
        <v>1</v>
      </c>
      <c r="AB485" s="24" t="s">
        <v>2461</v>
      </c>
      <c r="AC485" s="24">
        <v>15.2</v>
      </c>
      <c r="AD485" s="24">
        <f t="shared" si="14"/>
        <v>12.799999999999999</v>
      </c>
      <c r="AE485" s="24">
        <f t="shared" si="15"/>
        <v>17.599999999999998</v>
      </c>
      <c r="AF485" s="24"/>
      <c r="AG485" s="351"/>
      <c r="AH485" s="351"/>
      <c r="AI485" s="45" t="s">
        <v>256</v>
      </c>
      <c r="AJ485" s="103"/>
      <c r="AK485" s="103"/>
      <c r="AL485" s="351"/>
      <c r="AM485" s="351"/>
      <c r="AN485" s="46" t="s">
        <v>2561</v>
      </c>
      <c r="AO485" s="46" t="s">
        <v>2472</v>
      </c>
      <c r="AP485" s="46" t="s">
        <v>2405</v>
      </c>
      <c r="AQ485" s="46" t="s">
        <v>37</v>
      </c>
      <c r="AR485" s="47">
        <v>44125</v>
      </c>
      <c r="AS485" s="46" t="s">
        <v>37</v>
      </c>
      <c r="AT485" s="365"/>
      <c r="AU485" s="1107"/>
    </row>
    <row r="486" spans="1:47" ht="54" x14ac:dyDescent="0.25">
      <c r="A486" s="488"/>
      <c r="B486" s="131"/>
      <c r="C486" s="75"/>
      <c r="D486" s="568"/>
      <c r="E486" s="568"/>
      <c r="F486" s="75"/>
      <c r="G486" s="143"/>
      <c r="H486" s="118"/>
      <c r="I486" s="131"/>
      <c r="J486" s="188">
        <v>400</v>
      </c>
      <c r="K486" s="1059" t="s">
        <v>2351</v>
      </c>
      <c r="L486" s="915">
        <v>1363510.9083</v>
      </c>
      <c r="M486" s="915">
        <v>5109225.9778000005</v>
      </c>
      <c r="N486" s="118"/>
      <c r="O486" s="118" t="s">
        <v>2501</v>
      </c>
      <c r="P486" s="75" t="s">
        <v>193</v>
      </c>
      <c r="Q486" s="118"/>
      <c r="R486" s="118"/>
      <c r="S486" s="118"/>
      <c r="T486" s="601" t="s">
        <v>2684</v>
      </c>
      <c r="U486" s="24" t="s">
        <v>10</v>
      </c>
      <c r="V486" s="24" t="s">
        <v>10</v>
      </c>
      <c r="W486" s="24" t="s">
        <v>10</v>
      </c>
      <c r="X486" s="24" t="s">
        <v>193</v>
      </c>
      <c r="Y486" s="24" t="s">
        <v>2598</v>
      </c>
      <c r="Z486" s="46" t="s">
        <v>2468</v>
      </c>
      <c r="AA486" s="24">
        <v>1</v>
      </c>
      <c r="AB486" s="24" t="s">
        <v>2461</v>
      </c>
      <c r="AC486" s="24">
        <v>15.2</v>
      </c>
      <c r="AD486" s="24">
        <f t="shared" si="14"/>
        <v>12.799999999999999</v>
      </c>
      <c r="AE486" s="24">
        <f t="shared" si="15"/>
        <v>17.599999999999998</v>
      </c>
      <c r="AF486" s="24"/>
      <c r="AG486" s="351"/>
      <c r="AH486" s="351"/>
      <c r="AI486" s="45" t="s">
        <v>256</v>
      </c>
      <c r="AJ486" s="103"/>
      <c r="AK486" s="103"/>
      <c r="AL486" s="351"/>
      <c r="AM486" s="351"/>
      <c r="AN486" s="46" t="s">
        <v>2561</v>
      </c>
      <c r="AO486" s="46" t="s">
        <v>2472</v>
      </c>
      <c r="AP486" s="46" t="s">
        <v>2405</v>
      </c>
      <c r="AQ486" s="46" t="s">
        <v>37</v>
      </c>
      <c r="AR486" s="47">
        <v>44125</v>
      </c>
      <c r="AS486" s="46" t="s">
        <v>37</v>
      </c>
      <c r="AT486" s="365"/>
      <c r="AU486" s="1107"/>
    </row>
    <row r="487" spans="1:47" ht="54" x14ac:dyDescent="0.25">
      <c r="A487" s="488"/>
      <c r="B487" s="131"/>
      <c r="C487" s="75"/>
      <c r="D487" s="568"/>
      <c r="E487" s="568"/>
      <c r="F487" s="75"/>
      <c r="G487" s="143"/>
      <c r="H487" s="118"/>
      <c r="I487" s="131"/>
      <c r="J487" s="188">
        <v>401</v>
      </c>
      <c r="K487" s="1059" t="s">
        <v>2352</v>
      </c>
      <c r="L487" s="915">
        <v>1363599.4313999999</v>
      </c>
      <c r="M487" s="915">
        <v>5109281.4331</v>
      </c>
      <c r="N487" s="118"/>
      <c r="O487" s="118" t="s">
        <v>2567</v>
      </c>
      <c r="P487" s="75" t="s">
        <v>193</v>
      </c>
      <c r="Q487" s="118"/>
      <c r="R487" s="118"/>
      <c r="S487" s="118"/>
      <c r="T487" s="601" t="s">
        <v>2688</v>
      </c>
      <c r="U487" s="24" t="s">
        <v>10</v>
      </c>
      <c r="V487" s="24" t="s">
        <v>10</v>
      </c>
      <c r="W487" s="24" t="s">
        <v>10</v>
      </c>
      <c r="X487" s="24" t="s">
        <v>193</v>
      </c>
      <c r="Y487" s="24" t="s">
        <v>2599</v>
      </c>
      <c r="Z487" s="46" t="s">
        <v>2468</v>
      </c>
      <c r="AA487" s="24">
        <v>1</v>
      </c>
      <c r="AB487" s="24" t="s">
        <v>2461</v>
      </c>
      <c r="AC487" s="24">
        <v>15.2</v>
      </c>
      <c r="AD487" s="24">
        <f t="shared" si="14"/>
        <v>12.799999999999999</v>
      </c>
      <c r="AE487" s="24">
        <f t="shared" si="15"/>
        <v>17.599999999999998</v>
      </c>
      <c r="AF487" s="24"/>
      <c r="AG487" s="351"/>
      <c r="AH487" s="351"/>
      <c r="AI487" s="45" t="s">
        <v>256</v>
      </c>
      <c r="AJ487" s="103"/>
      <c r="AK487" s="103"/>
      <c r="AL487" s="351"/>
      <c r="AM487" s="351"/>
      <c r="AN487" s="46" t="s">
        <v>2561</v>
      </c>
      <c r="AO487" s="46" t="s">
        <v>2472</v>
      </c>
      <c r="AP487" s="46" t="s">
        <v>2405</v>
      </c>
      <c r="AQ487" s="46" t="s">
        <v>37</v>
      </c>
      <c r="AR487" s="47">
        <v>44125</v>
      </c>
      <c r="AS487" s="46" t="s">
        <v>37</v>
      </c>
      <c r="AT487" s="365"/>
      <c r="AU487" s="1107"/>
    </row>
    <row r="488" spans="1:47" ht="54" x14ac:dyDescent="0.25">
      <c r="A488" s="488"/>
      <c r="B488" s="131"/>
      <c r="C488" s="75"/>
      <c r="D488" s="568"/>
      <c r="E488" s="568"/>
      <c r="F488" s="75"/>
      <c r="G488" s="143"/>
      <c r="H488" s="118"/>
      <c r="I488" s="131"/>
      <c r="J488" s="188">
        <v>402</v>
      </c>
      <c r="K488" s="1059" t="s">
        <v>2353</v>
      </c>
      <c r="L488" s="915">
        <v>1363593.8728</v>
      </c>
      <c r="M488" s="915">
        <v>5109302.3647999996</v>
      </c>
      <c r="N488" s="118"/>
      <c r="O488" s="118" t="s">
        <v>2501</v>
      </c>
      <c r="P488" s="75" t="s">
        <v>193</v>
      </c>
      <c r="Q488" s="118"/>
      <c r="R488" s="118"/>
      <c r="S488" s="118"/>
      <c r="T488" s="601" t="s">
        <v>2684</v>
      </c>
      <c r="U488" s="24" t="s">
        <v>10</v>
      </c>
      <c r="V488" s="24" t="s">
        <v>10</v>
      </c>
      <c r="W488" s="24" t="s">
        <v>10</v>
      </c>
      <c r="X488" s="24" t="s">
        <v>193</v>
      </c>
      <c r="Y488" s="24" t="s">
        <v>2600</v>
      </c>
      <c r="Z488" s="46" t="s">
        <v>2468</v>
      </c>
      <c r="AA488" s="24">
        <v>1</v>
      </c>
      <c r="AB488" s="24" t="s">
        <v>2461</v>
      </c>
      <c r="AC488" s="24">
        <v>15.2</v>
      </c>
      <c r="AD488" s="24">
        <f t="shared" si="14"/>
        <v>12.799999999999999</v>
      </c>
      <c r="AE488" s="24">
        <f t="shared" si="15"/>
        <v>17.599999999999998</v>
      </c>
      <c r="AF488" s="24"/>
      <c r="AG488" s="351"/>
      <c r="AH488" s="351"/>
      <c r="AI488" s="45" t="s">
        <v>256</v>
      </c>
      <c r="AJ488" s="103"/>
      <c r="AK488" s="103"/>
      <c r="AL488" s="351"/>
      <c r="AM488" s="351"/>
      <c r="AN488" s="46" t="s">
        <v>2561</v>
      </c>
      <c r="AO488" s="46" t="s">
        <v>2472</v>
      </c>
      <c r="AP488" s="46" t="s">
        <v>2405</v>
      </c>
      <c r="AQ488" s="46" t="s">
        <v>37</v>
      </c>
      <c r="AR488" s="47">
        <v>44125</v>
      </c>
      <c r="AS488" s="46" t="s">
        <v>37</v>
      </c>
      <c r="AT488" s="365"/>
      <c r="AU488" s="1107"/>
    </row>
    <row r="489" spans="1:47" ht="54" x14ac:dyDescent="0.25">
      <c r="A489" s="488"/>
      <c r="B489" s="131"/>
      <c r="C489" s="75"/>
      <c r="D489" s="568"/>
      <c r="E489" s="568"/>
      <c r="F489" s="75"/>
      <c r="G489" s="143"/>
      <c r="H489" s="118"/>
      <c r="I489" s="131"/>
      <c r="J489" s="188">
        <v>403</v>
      </c>
      <c r="K489" s="1059" t="s">
        <v>2354</v>
      </c>
      <c r="L489" s="915">
        <v>1363615.2365000001</v>
      </c>
      <c r="M489" s="915">
        <v>5109354.2932000002</v>
      </c>
      <c r="N489" s="118"/>
      <c r="O489" s="118" t="s">
        <v>2501</v>
      </c>
      <c r="P489" s="75" t="s">
        <v>193</v>
      </c>
      <c r="Q489" s="118"/>
      <c r="R489" s="118"/>
      <c r="S489" s="118"/>
      <c r="T489" s="601" t="s">
        <v>2684</v>
      </c>
      <c r="U489" s="24" t="s">
        <v>10</v>
      </c>
      <c r="V489" s="24" t="s">
        <v>10</v>
      </c>
      <c r="W489" s="24" t="s">
        <v>10</v>
      </c>
      <c r="X489" s="24" t="s">
        <v>193</v>
      </c>
      <c r="Y489" s="24" t="s">
        <v>2549</v>
      </c>
      <c r="Z489" s="46" t="s">
        <v>2468</v>
      </c>
      <c r="AA489" s="24">
        <v>1</v>
      </c>
      <c r="AB489" s="24" t="s">
        <v>2461</v>
      </c>
      <c r="AC489" s="24">
        <v>15.2</v>
      </c>
      <c r="AD489" s="24">
        <f t="shared" si="14"/>
        <v>12.799999999999999</v>
      </c>
      <c r="AE489" s="24">
        <f t="shared" si="15"/>
        <v>17.599999999999998</v>
      </c>
      <c r="AF489" s="24"/>
      <c r="AG489" s="351"/>
      <c r="AH489" s="351"/>
      <c r="AI489" s="45" t="s">
        <v>256</v>
      </c>
      <c r="AJ489" s="103"/>
      <c r="AK489" s="103"/>
      <c r="AL489" s="351"/>
      <c r="AM489" s="351"/>
      <c r="AN489" s="46" t="s">
        <v>2561</v>
      </c>
      <c r="AO489" s="46" t="s">
        <v>2472</v>
      </c>
      <c r="AP489" s="46" t="s">
        <v>2405</v>
      </c>
      <c r="AQ489" s="46" t="s">
        <v>37</v>
      </c>
      <c r="AR489" s="47">
        <v>44125</v>
      </c>
      <c r="AS489" s="46" t="s">
        <v>37</v>
      </c>
      <c r="AT489" s="365"/>
      <c r="AU489" s="1107"/>
    </row>
    <row r="490" spans="1:47" ht="54" x14ac:dyDescent="0.25">
      <c r="A490" s="488"/>
      <c r="B490" s="131"/>
      <c r="C490" s="75"/>
      <c r="D490" s="568"/>
      <c r="E490" s="568"/>
      <c r="F490" s="75"/>
      <c r="G490" s="143"/>
      <c r="H490" s="118"/>
      <c r="I490" s="131"/>
      <c r="J490" s="188">
        <v>404</v>
      </c>
      <c r="K490" s="1059" t="s">
        <v>2355</v>
      </c>
      <c r="L490" s="915">
        <v>1363592.3023000001</v>
      </c>
      <c r="M490" s="915">
        <v>5109724.9386</v>
      </c>
      <c r="N490" s="118"/>
      <c r="O490" s="118" t="s">
        <v>2498</v>
      </c>
      <c r="P490" s="75" t="s">
        <v>193</v>
      </c>
      <c r="Q490" s="118"/>
      <c r="R490" s="118"/>
      <c r="S490" s="118"/>
      <c r="T490" s="601" t="s">
        <v>2681</v>
      </c>
      <c r="U490" s="24" t="s">
        <v>10</v>
      </c>
      <c r="V490" s="24" t="s">
        <v>10</v>
      </c>
      <c r="W490" s="24" t="s">
        <v>10</v>
      </c>
      <c r="X490" s="24" t="s">
        <v>193</v>
      </c>
      <c r="Y490" s="24" t="s">
        <v>2601</v>
      </c>
      <c r="Z490" s="46" t="s">
        <v>2468</v>
      </c>
      <c r="AA490" s="24">
        <v>1</v>
      </c>
      <c r="AB490" s="24" t="s">
        <v>2461</v>
      </c>
      <c r="AC490" s="24">
        <v>15.2</v>
      </c>
      <c r="AD490" s="24">
        <f t="shared" si="14"/>
        <v>12.799999999999999</v>
      </c>
      <c r="AE490" s="24">
        <f t="shared" si="15"/>
        <v>17.599999999999998</v>
      </c>
      <c r="AF490" s="24"/>
      <c r="AG490" s="351"/>
      <c r="AH490" s="351"/>
      <c r="AI490" s="45" t="s">
        <v>256</v>
      </c>
      <c r="AJ490" s="103"/>
      <c r="AK490" s="103"/>
      <c r="AL490" s="351"/>
      <c r="AM490" s="351"/>
      <c r="AN490" s="46" t="s">
        <v>2561</v>
      </c>
      <c r="AO490" s="46" t="s">
        <v>2472</v>
      </c>
      <c r="AP490" s="46" t="s">
        <v>2405</v>
      </c>
      <c r="AQ490" s="46" t="s">
        <v>37</v>
      </c>
      <c r="AR490" s="47">
        <v>44125</v>
      </c>
      <c r="AS490" s="46" t="s">
        <v>37</v>
      </c>
      <c r="AT490" s="365"/>
      <c r="AU490" s="1107"/>
    </row>
    <row r="491" spans="1:47" ht="54" x14ac:dyDescent="0.25">
      <c r="A491" s="488"/>
      <c r="B491" s="131"/>
      <c r="C491" s="75"/>
      <c r="D491" s="568"/>
      <c r="E491" s="568"/>
      <c r="F491" s="75"/>
      <c r="G491" s="143"/>
      <c r="H491" s="118"/>
      <c r="I491" s="131"/>
      <c r="J491" s="188">
        <v>405</v>
      </c>
      <c r="K491" s="1059" t="s">
        <v>2356</v>
      </c>
      <c r="L491" s="915">
        <v>1363597.4236000001</v>
      </c>
      <c r="M491" s="915">
        <v>5109738.4688999997</v>
      </c>
      <c r="N491" s="118"/>
      <c r="O491" s="118" t="s">
        <v>2500</v>
      </c>
      <c r="P491" s="75" t="s">
        <v>193</v>
      </c>
      <c r="Q491" s="118"/>
      <c r="R491" s="118"/>
      <c r="S491" s="118"/>
      <c r="T491" s="601" t="s">
        <v>2683</v>
      </c>
      <c r="U491" s="24" t="s">
        <v>10</v>
      </c>
      <c r="V491" s="24" t="s">
        <v>10</v>
      </c>
      <c r="W491" s="24" t="s">
        <v>10</v>
      </c>
      <c r="X491" s="24" t="s">
        <v>193</v>
      </c>
      <c r="Y491" s="24" t="s">
        <v>2602</v>
      </c>
      <c r="Z491" s="46" t="s">
        <v>2468</v>
      </c>
      <c r="AA491" s="24">
        <v>1</v>
      </c>
      <c r="AB491" s="24" t="s">
        <v>2461</v>
      </c>
      <c r="AC491" s="24">
        <v>15.2</v>
      </c>
      <c r="AD491" s="24">
        <f t="shared" si="14"/>
        <v>12.799999999999999</v>
      </c>
      <c r="AE491" s="24">
        <f t="shared" si="15"/>
        <v>17.599999999999998</v>
      </c>
      <c r="AF491" s="24"/>
      <c r="AG491" s="351"/>
      <c r="AH491" s="351"/>
      <c r="AI491" s="45" t="s">
        <v>256</v>
      </c>
      <c r="AJ491" s="103"/>
      <c r="AK491" s="103"/>
      <c r="AL491" s="351"/>
      <c r="AM491" s="351"/>
      <c r="AN491" s="46" t="s">
        <v>2561</v>
      </c>
      <c r="AO491" s="46" t="s">
        <v>2472</v>
      </c>
      <c r="AP491" s="46" t="s">
        <v>2405</v>
      </c>
      <c r="AQ491" s="46" t="s">
        <v>37</v>
      </c>
      <c r="AR491" s="47">
        <v>44125</v>
      </c>
      <c r="AS491" s="46" t="s">
        <v>37</v>
      </c>
      <c r="AT491" s="365"/>
      <c r="AU491" s="1107"/>
    </row>
    <row r="492" spans="1:47" ht="54" x14ac:dyDescent="0.25">
      <c r="A492" s="488"/>
      <c r="B492" s="131"/>
      <c r="C492" s="75"/>
      <c r="D492" s="568"/>
      <c r="E492" s="568"/>
      <c r="F492" s="75"/>
      <c r="G492" s="143"/>
      <c r="H492" s="118"/>
      <c r="I492" s="131"/>
      <c r="J492" s="188">
        <v>406</v>
      </c>
      <c r="K492" s="1059" t="s">
        <v>2357</v>
      </c>
      <c r="L492" s="915">
        <v>1363591.5471000001</v>
      </c>
      <c r="M492" s="915">
        <v>5109790.5302999998</v>
      </c>
      <c r="N492" s="118"/>
      <c r="O492" s="118" t="s">
        <v>2498</v>
      </c>
      <c r="P492" s="75" t="s">
        <v>193</v>
      </c>
      <c r="Q492" s="118"/>
      <c r="R492" s="118"/>
      <c r="S492" s="118"/>
      <c r="T492" s="601" t="s">
        <v>2681</v>
      </c>
      <c r="U492" s="24" t="s">
        <v>10</v>
      </c>
      <c r="V492" s="24" t="s">
        <v>10</v>
      </c>
      <c r="W492" s="24" t="s">
        <v>10</v>
      </c>
      <c r="X492" s="24" t="s">
        <v>193</v>
      </c>
      <c r="Y492" s="24" t="s">
        <v>2603</v>
      </c>
      <c r="Z492" s="46" t="s">
        <v>2468</v>
      </c>
      <c r="AA492" s="24">
        <v>1</v>
      </c>
      <c r="AB492" s="24" t="s">
        <v>2461</v>
      </c>
      <c r="AC492" s="24">
        <v>15.2</v>
      </c>
      <c r="AD492" s="24">
        <f t="shared" si="14"/>
        <v>12.799999999999999</v>
      </c>
      <c r="AE492" s="24">
        <f t="shared" si="15"/>
        <v>17.599999999999998</v>
      </c>
      <c r="AF492" s="24"/>
      <c r="AG492" s="351"/>
      <c r="AH492" s="351"/>
      <c r="AI492" s="45" t="s">
        <v>256</v>
      </c>
      <c r="AJ492" s="103"/>
      <c r="AK492" s="103"/>
      <c r="AL492" s="351"/>
      <c r="AM492" s="351"/>
      <c r="AN492" s="46" t="s">
        <v>2561</v>
      </c>
      <c r="AO492" s="46" t="s">
        <v>2472</v>
      </c>
      <c r="AP492" s="46" t="s">
        <v>2405</v>
      </c>
      <c r="AQ492" s="46" t="s">
        <v>37</v>
      </c>
      <c r="AR492" s="47">
        <v>44125</v>
      </c>
      <c r="AS492" s="46" t="s">
        <v>37</v>
      </c>
      <c r="AT492" s="365"/>
      <c r="AU492" s="1107"/>
    </row>
    <row r="493" spans="1:47" ht="54" x14ac:dyDescent="0.25">
      <c r="A493" s="488"/>
      <c r="B493" s="131"/>
      <c r="C493" s="75"/>
      <c r="D493" s="568"/>
      <c r="E493" s="568"/>
      <c r="F493" s="75"/>
      <c r="G493" s="143"/>
      <c r="H493" s="118"/>
      <c r="I493" s="131"/>
      <c r="J493" s="188">
        <v>407</v>
      </c>
      <c r="K493" s="1059" t="s">
        <v>2358</v>
      </c>
      <c r="L493" s="915">
        <v>1363610.7104</v>
      </c>
      <c r="M493" s="915">
        <v>5109814.5749000004</v>
      </c>
      <c r="N493" s="118"/>
      <c r="O493" s="118" t="s">
        <v>2500</v>
      </c>
      <c r="P493" s="75" t="s">
        <v>193</v>
      </c>
      <c r="Q493" s="118"/>
      <c r="R493" s="118"/>
      <c r="S493" s="118"/>
      <c r="T493" s="601" t="s">
        <v>2683</v>
      </c>
      <c r="U493" s="24" t="s">
        <v>10</v>
      </c>
      <c r="V493" s="24" t="s">
        <v>10</v>
      </c>
      <c r="W493" s="24" t="s">
        <v>10</v>
      </c>
      <c r="X493" s="24" t="s">
        <v>193</v>
      </c>
      <c r="Y493" s="24" t="s">
        <v>2604</v>
      </c>
      <c r="Z493" s="46" t="s">
        <v>2468</v>
      </c>
      <c r="AA493" s="24">
        <v>1</v>
      </c>
      <c r="AB493" s="24" t="s">
        <v>2461</v>
      </c>
      <c r="AC493" s="24">
        <v>15.2</v>
      </c>
      <c r="AD493" s="24">
        <f t="shared" si="14"/>
        <v>12.799999999999999</v>
      </c>
      <c r="AE493" s="24">
        <f t="shared" si="15"/>
        <v>17.599999999999998</v>
      </c>
      <c r="AF493" s="24"/>
      <c r="AG493" s="351"/>
      <c r="AH493" s="351"/>
      <c r="AI493" s="45" t="s">
        <v>256</v>
      </c>
      <c r="AJ493" s="103"/>
      <c r="AK493" s="103"/>
      <c r="AL493" s="351"/>
      <c r="AM493" s="351"/>
      <c r="AN493" s="46" t="s">
        <v>2561</v>
      </c>
      <c r="AO493" s="46" t="s">
        <v>2472</v>
      </c>
      <c r="AP493" s="46" t="s">
        <v>2405</v>
      </c>
      <c r="AQ493" s="46" t="s">
        <v>37</v>
      </c>
      <c r="AR493" s="47">
        <v>44125</v>
      </c>
      <c r="AS493" s="46" t="s">
        <v>37</v>
      </c>
      <c r="AT493" s="365"/>
      <c r="AU493" s="1107"/>
    </row>
    <row r="494" spans="1:47" ht="54" x14ac:dyDescent="0.25">
      <c r="A494" s="488"/>
      <c r="B494" s="131"/>
      <c r="C494" s="75"/>
      <c r="D494" s="568"/>
      <c r="E494" s="568"/>
      <c r="F494" s="75"/>
      <c r="G494" s="143"/>
      <c r="H494" s="118"/>
      <c r="I494" s="131"/>
      <c r="J494" s="188">
        <v>408</v>
      </c>
      <c r="K494" s="1059" t="s">
        <v>2359</v>
      </c>
      <c r="L494" s="915">
        <v>1362674.7771999999</v>
      </c>
      <c r="M494" s="915">
        <v>5105540.0537999999</v>
      </c>
      <c r="N494" s="118"/>
      <c r="O494" s="118" t="s">
        <v>2502</v>
      </c>
      <c r="P494" s="75" t="s">
        <v>193</v>
      </c>
      <c r="Q494" s="118"/>
      <c r="R494" s="118"/>
      <c r="S494" s="118"/>
      <c r="T494" s="601" t="s">
        <v>2674</v>
      </c>
      <c r="U494" s="24" t="s">
        <v>10</v>
      </c>
      <c r="V494" s="24" t="s">
        <v>10</v>
      </c>
      <c r="W494" s="24" t="s">
        <v>10</v>
      </c>
      <c r="X494" s="24" t="s">
        <v>193</v>
      </c>
      <c r="Y494" s="24" t="s">
        <v>2605</v>
      </c>
      <c r="Z494" s="46" t="s">
        <v>2468</v>
      </c>
      <c r="AA494" s="24">
        <v>1</v>
      </c>
      <c r="AB494" s="24" t="s">
        <v>2461</v>
      </c>
      <c r="AC494" s="24">
        <v>15.2</v>
      </c>
      <c r="AD494" s="24">
        <f t="shared" si="14"/>
        <v>12.799999999999999</v>
      </c>
      <c r="AE494" s="24">
        <f t="shared" si="15"/>
        <v>17.599999999999998</v>
      </c>
      <c r="AF494" s="24"/>
      <c r="AG494" s="351"/>
      <c r="AH494" s="351"/>
      <c r="AI494" s="45" t="s">
        <v>256</v>
      </c>
      <c r="AJ494" s="103"/>
      <c r="AK494" s="103"/>
      <c r="AL494" s="351"/>
      <c r="AM494" s="351"/>
      <c r="AN494" s="46" t="s">
        <v>2561</v>
      </c>
      <c r="AO494" s="46" t="s">
        <v>2472</v>
      </c>
      <c r="AP494" s="46" t="s">
        <v>2405</v>
      </c>
      <c r="AQ494" s="46" t="s">
        <v>37</v>
      </c>
      <c r="AR494" s="47">
        <v>44125</v>
      </c>
      <c r="AS494" s="46" t="s">
        <v>37</v>
      </c>
      <c r="AT494" s="365"/>
      <c r="AU494" s="1107"/>
    </row>
    <row r="495" spans="1:47" ht="54" x14ac:dyDescent="0.25">
      <c r="A495" s="488"/>
      <c r="B495" s="131"/>
      <c r="C495" s="75"/>
      <c r="D495" s="568"/>
      <c r="E495" s="568"/>
      <c r="F495" s="75"/>
      <c r="G495" s="143"/>
      <c r="H495" s="118"/>
      <c r="I495" s="131"/>
      <c r="J495" s="188">
        <v>409</v>
      </c>
      <c r="K495" s="1059" t="s">
        <v>2341</v>
      </c>
      <c r="L495" s="915">
        <v>1362278.8436</v>
      </c>
      <c r="M495" s="915">
        <v>5104158.8296999997</v>
      </c>
      <c r="N495" s="118"/>
      <c r="O495" s="118" t="s">
        <v>2428</v>
      </c>
      <c r="P495" s="75" t="s">
        <v>193</v>
      </c>
      <c r="Q495" s="118"/>
      <c r="R495" s="118"/>
      <c r="S495" s="118"/>
      <c r="T495" s="601" t="s">
        <v>2656</v>
      </c>
      <c r="U495" s="24" t="s">
        <v>10</v>
      </c>
      <c r="V495" s="24" t="s">
        <v>16</v>
      </c>
      <c r="W495" s="24" t="s">
        <v>16</v>
      </c>
      <c r="X495" s="24" t="s">
        <v>193</v>
      </c>
      <c r="Y495" s="24" t="s">
        <v>2606</v>
      </c>
      <c r="Z495" s="46" t="s">
        <v>2468</v>
      </c>
      <c r="AA495" s="24">
        <v>1</v>
      </c>
      <c r="AB495" s="24" t="s">
        <v>2463</v>
      </c>
      <c r="AC495" s="24">
        <f>AD495+(AE495-AD495)/2</f>
        <v>89</v>
      </c>
      <c r="AD495" s="24">
        <v>73</v>
      </c>
      <c r="AE495" s="24">
        <v>105</v>
      </c>
      <c r="AF495" s="24"/>
      <c r="AG495" s="351"/>
      <c r="AH495" s="351"/>
      <c r="AI495" s="45" t="s">
        <v>256</v>
      </c>
      <c r="AJ495" s="103"/>
      <c r="AK495" s="103"/>
      <c r="AL495" s="351"/>
      <c r="AM495" s="351"/>
      <c r="AN495" s="46" t="s">
        <v>2561</v>
      </c>
      <c r="AO495" s="46" t="s">
        <v>2474</v>
      </c>
      <c r="AP495" s="46" t="s">
        <v>2405</v>
      </c>
      <c r="AQ495" s="46" t="s">
        <v>37</v>
      </c>
      <c r="AR495" s="47">
        <v>44125</v>
      </c>
      <c r="AS495" s="46" t="s">
        <v>37</v>
      </c>
      <c r="AT495" s="365"/>
      <c r="AU495" s="1107"/>
    </row>
    <row r="496" spans="1:47" ht="54" x14ac:dyDescent="0.25">
      <c r="A496" s="488"/>
      <c r="B496" s="131"/>
      <c r="C496" s="75"/>
      <c r="D496" s="568"/>
      <c r="E496" s="568"/>
      <c r="F496" s="75"/>
      <c r="G496" s="143"/>
      <c r="H496" s="118"/>
      <c r="I496" s="131"/>
      <c r="J496" s="188">
        <v>410</v>
      </c>
      <c r="K496" s="1059" t="s">
        <v>2360</v>
      </c>
      <c r="L496" s="915">
        <v>1362287.6161</v>
      </c>
      <c r="M496" s="915">
        <v>5104071.2824999997</v>
      </c>
      <c r="N496" s="118"/>
      <c r="O496" s="118" t="s">
        <v>2568</v>
      </c>
      <c r="P496" s="75" t="s">
        <v>193</v>
      </c>
      <c r="Q496" s="118"/>
      <c r="R496" s="118"/>
      <c r="S496" s="118"/>
      <c r="T496" s="601" t="s">
        <v>2689</v>
      </c>
      <c r="U496" s="24" t="s">
        <v>10</v>
      </c>
      <c r="V496" s="24" t="s">
        <v>10</v>
      </c>
      <c r="W496" s="24" t="s">
        <v>10</v>
      </c>
      <c r="X496" s="24" t="s">
        <v>193</v>
      </c>
      <c r="Y496" s="24" t="s">
        <v>2607</v>
      </c>
      <c r="Z496" s="46" t="s">
        <v>2468</v>
      </c>
      <c r="AA496" s="24">
        <v>1</v>
      </c>
      <c r="AB496" s="24" t="s">
        <v>2462</v>
      </c>
      <c r="AC496" s="24">
        <v>26.5</v>
      </c>
      <c r="AD496" s="24">
        <f>26.5-4</f>
        <v>22.5</v>
      </c>
      <c r="AE496" s="24">
        <f>26.5+4</f>
        <v>30.5</v>
      </c>
      <c r="AF496" s="24"/>
      <c r="AG496" s="351"/>
      <c r="AH496" s="351"/>
      <c r="AI496" s="45" t="s">
        <v>256</v>
      </c>
      <c r="AJ496" s="103"/>
      <c r="AK496" s="103"/>
      <c r="AL496" s="351"/>
      <c r="AM496" s="351"/>
      <c r="AN496" s="46" t="s">
        <v>2561</v>
      </c>
      <c r="AO496" s="46" t="s">
        <v>2473</v>
      </c>
      <c r="AP496" s="46" t="s">
        <v>2405</v>
      </c>
      <c r="AQ496" s="46" t="s">
        <v>37</v>
      </c>
      <c r="AR496" s="47">
        <v>44125</v>
      </c>
      <c r="AS496" s="46" t="s">
        <v>37</v>
      </c>
      <c r="AT496" s="365"/>
      <c r="AU496" s="1107"/>
    </row>
    <row r="497" spans="1:47" ht="54" x14ac:dyDescent="0.25">
      <c r="A497" s="488"/>
      <c r="B497" s="131"/>
      <c r="C497" s="75"/>
      <c r="D497" s="568"/>
      <c r="E497" s="568"/>
      <c r="F497" s="75"/>
      <c r="G497" s="143"/>
      <c r="H497" s="118"/>
      <c r="I497" s="131"/>
      <c r="J497" s="188">
        <v>411</v>
      </c>
      <c r="K497" s="1059" t="s">
        <v>2361</v>
      </c>
      <c r="L497" s="915">
        <v>1362431.0208999999</v>
      </c>
      <c r="M497" s="915">
        <v>5103890.7333000004</v>
      </c>
      <c r="N497" s="118"/>
      <c r="O497" s="118" t="s">
        <v>2493</v>
      </c>
      <c r="P497" s="75" t="s">
        <v>193</v>
      </c>
      <c r="Q497" s="118"/>
      <c r="R497" s="118"/>
      <c r="S497" s="118"/>
      <c r="T497" s="601" t="s">
        <v>2676</v>
      </c>
      <c r="U497" s="24" t="s">
        <v>10</v>
      </c>
      <c r="V497" s="24" t="s">
        <v>10</v>
      </c>
      <c r="W497" s="24" t="s">
        <v>10</v>
      </c>
      <c r="X497" s="24" t="s">
        <v>193</v>
      </c>
      <c r="Y497" s="24" t="s">
        <v>2608</v>
      </c>
      <c r="Z497" s="46" t="s">
        <v>2468</v>
      </c>
      <c r="AA497" s="24">
        <v>1</v>
      </c>
      <c r="AB497" s="24" t="s">
        <v>2461</v>
      </c>
      <c r="AC497" s="24">
        <v>15.2</v>
      </c>
      <c r="AD497" s="24">
        <f>15.2-2.4</f>
        <v>12.799999999999999</v>
      </c>
      <c r="AE497" s="24">
        <f>15.2+2.4</f>
        <v>17.599999999999998</v>
      </c>
      <c r="AF497" s="24"/>
      <c r="AG497" s="351"/>
      <c r="AH497" s="351"/>
      <c r="AI497" s="45" t="s">
        <v>256</v>
      </c>
      <c r="AJ497" s="103"/>
      <c r="AK497" s="103"/>
      <c r="AL497" s="351"/>
      <c r="AM497" s="351"/>
      <c r="AN497" s="46" t="s">
        <v>2561</v>
      </c>
      <c r="AO497" s="46" t="s">
        <v>2472</v>
      </c>
      <c r="AP497" s="46" t="s">
        <v>2405</v>
      </c>
      <c r="AQ497" s="46" t="s">
        <v>37</v>
      </c>
      <c r="AR497" s="47">
        <v>44125</v>
      </c>
      <c r="AS497" s="46" t="s">
        <v>37</v>
      </c>
      <c r="AT497" s="365"/>
      <c r="AU497" s="1107"/>
    </row>
    <row r="498" spans="1:47" ht="54" x14ac:dyDescent="0.25">
      <c r="A498" s="488"/>
      <c r="B498" s="131"/>
      <c r="C498" s="75"/>
      <c r="D498" s="568"/>
      <c r="E498" s="568"/>
      <c r="F498" s="75"/>
      <c r="G498" s="143"/>
      <c r="H498" s="118"/>
      <c r="I498" s="131"/>
      <c r="J498" s="188">
        <v>412</v>
      </c>
      <c r="K498" s="1059" t="s">
        <v>2362</v>
      </c>
      <c r="L498" s="915">
        <v>1362533.8089000001</v>
      </c>
      <c r="M498" s="915">
        <v>5103726.5078999996</v>
      </c>
      <c r="N498" s="118"/>
      <c r="O498" s="118" t="s">
        <v>2417</v>
      </c>
      <c r="P498" s="75" t="s">
        <v>193</v>
      </c>
      <c r="Q498" s="118"/>
      <c r="R498" s="118"/>
      <c r="S498" s="118"/>
      <c r="T498" s="601" t="s">
        <v>2644</v>
      </c>
      <c r="U498" s="24" t="s">
        <v>10</v>
      </c>
      <c r="V498" s="24" t="s">
        <v>10</v>
      </c>
      <c r="W498" s="24" t="s">
        <v>10</v>
      </c>
      <c r="X498" s="24" t="s">
        <v>193</v>
      </c>
      <c r="Y498" s="24" t="s">
        <v>2609</v>
      </c>
      <c r="Z498" s="46" t="s">
        <v>2468</v>
      </c>
      <c r="AA498" s="24">
        <v>1</v>
      </c>
      <c r="AB498" s="24" t="s">
        <v>2461</v>
      </c>
      <c r="AC498" s="24">
        <v>15.2</v>
      </c>
      <c r="AD498" s="24">
        <f>15.2-2.4</f>
        <v>12.799999999999999</v>
      </c>
      <c r="AE498" s="24">
        <f>15.2+2.4</f>
        <v>17.599999999999998</v>
      </c>
      <c r="AF498" s="24"/>
      <c r="AG498" s="351"/>
      <c r="AH498" s="351"/>
      <c r="AI498" s="45" t="s">
        <v>256</v>
      </c>
      <c r="AJ498" s="103"/>
      <c r="AK498" s="103"/>
      <c r="AL498" s="351"/>
      <c r="AM498" s="351"/>
      <c r="AN498" s="46" t="s">
        <v>2561</v>
      </c>
      <c r="AO498" s="46" t="s">
        <v>2472</v>
      </c>
      <c r="AP498" s="46" t="s">
        <v>2405</v>
      </c>
      <c r="AQ498" s="46" t="s">
        <v>37</v>
      </c>
      <c r="AR498" s="47">
        <v>44125</v>
      </c>
      <c r="AS498" s="46" t="s">
        <v>37</v>
      </c>
      <c r="AT498" s="365"/>
      <c r="AU498" s="1107"/>
    </row>
    <row r="499" spans="1:47" ht="54" x14ac:dyDescent="0.25">
      <c r="A499" s="488"/>
      <c r="B499" s="131"/>
      <c r="C499" s="75"/>
      <c r="D499" s="568"/>
      <c r="E499" s="568"/>
      <c r="F499" s="75"/>
      <c r="G499" s="143"/>
      <c r="H499" s="118"/>
      <c r="I499" s="131"/>
      <c r="J499" s="188">
        <v>413</v>
      </c>
      <c r="K499" s="1059" t="s">
        <v>2363</v>
      </c>
      <c r="L499" s="915">
        <v>1362370.3189000001</v>
      </c>
      <c r="M499" s="915">
        <v>5103290.1660000002</v>
      </c>
      <c r="N499" s="118"/>
      <c r="O499" s="118" t="s">
        <v>2490</v>
      </c>
      <c r="P499" s="75" t="s">
        <v>193</v>
      </c>
      <c r="Q499" s="118"/>
      <c r="R499" s="118"/>
      <c r="S499" s="118"/>
      <c r="T499" s="601" t="s">
        <v>2672</v>
      </c>
      <c r="U499" s="24" t="s">
        <v>10</v>
      </c>
      <c r="V499" s="24" t="s">
        <v>10</v>
      </c>
      <c r="W499" s="24" t="s">
        <v>10</v>
      </c>
      <c r="X499" s="24" t="s">
        <v>193</v>
      </c>
      <c r="Y499" s="24" t="s">
        <v>2610</v>
      </c>
      <c r="Z499" s="46" t="s">
        <v>2468</v>
      </c>
      <c r="AA499" s="24">
        <v>1</v>
      </c>
      <c r="AB499" s="24" t="s">
        <v>2461</v>
      </c>
      <c r="AC499" s="24">
        <v>15.2</v>
      </c>
      <c r="AD499" s="24">
        <f>15.2-2.4</f>
        <v>12.799999999999999</v>
      </c>
      <c r="AE499" s="24">
        <f>15.2+2.4</f>
        <v>17.599999999999998</v>
      </c>
      <c r="AF499" s="24"/>
      <c r="AG499" s="351"/>
      <c r="AH499" s="351"/>
      <c r="AI499" s="45" t="s">
        <v>256</v>
      </c>
      <c r="AJ499" s="103"/>
      <c r="AK499" s="103"/>
      <c r="AL499" s="351"/>
      <c r="AM499" s="351"/>
      <c r="AN499" s="46" t="s">
        <v>2561</v>
      </c>
      <c r="AO499" s="46" t="s">
        <v>2472</v>
      </c>
      <c r="AP499" s="46" t="s">
        <v>2405</v>
      </c>
      <c r="AQ499" s="46" t="s">
        <v>37</v>
      </c>
      <c r="AR499" s="47">
        <v>44125</v>
      </c>
      <c r="AS499" s="46" t="s">
        <v>37</v>
      </c>
      <c r="AT499" s="365"/>
      <c r="AU499" s="1107"/>
    </row>
    <row r="500" spans="1:47" ht="66.75" x14ac:dyDescent="0.25">
      <c r="A500" s="488"/>
      <c r="B500" s="131"/>
      <c r="C500" s="75"/>
      <c r="D500" s="568"/>
      <c r="E500" s="568"/>
      <c r="F500" s="75"/>
      <c r="G500" s="143"/>
      <c r="H500" s="118"/>
      <c r="I500" s="131"/>
      <c r="J500" s="188">
        <v>417</v>
      </c>
      <c r="K500" s="1059" t="s">
        <v>2364</v>
      </c>
      <c r="L500" s="915">
        <v>1362602.8689999999</v>
      </c>
      <c r="M500" s="915">
        <v>5097487.2445999999</v>
      </c>
      <c r="N500" s="118"/>
      <c r="O500" s="118" t="s">
        <v>2501</v>
      </c>
      <c r="P500" s="75" t="s">
        <v>193</v>
      </c>
      <c r="Q500" s="118"/>
      <c r="R500" s="118"/>
      <c r="S500" s="118"/>
      <c r="T500" s="601" t="s">
        <v>2684</v>
      </c>
      <c r="U500" s="24" t="s">
        <v>10</v>
      </c>
      <c r="V500" s="24" t="s">
        <v>16</v>
      </c>
      <c r="W500" s="24" t="s">
        <v>16</v>
      </c>
      <c r="X500" s="24" t="s">
        <v>193</v>
      </c>
      <c r="Y500" s="24" t="s">
        <v>2611</v>
      </c>
      <c r="Z500" s="46" t="s">
        <v>1253</v>
      </c>
      <c r="AA500" s="24">
        <v>1</v>
      </c>
      <c r="AB500" s="24" t="s">
        <v>2463</v>
      </c>
      <c r="AC500" s="24">
        <f>AD500+(AE500-AD500)/2</f>
        <v>89</v>
      </c>
      <c r="AD500" s="24">
        <v>73</v>
      </c>
      <c r="AE500" s="24">
        <v>105</v>
      </c>
      <c r="AF500" s="24"/>
      <c r="AG500" s="351"/>
      <c r="AH500" s="351"/>
      <c r="AI500" s="403" t="s">
        <v>23</v>
      </c>
      <c r="AJ500" s="103"/>
      <c r="AK500" s="103"/>
      <c r="AL500" s="351"/>
      <c r="AM500" s="351"/>
      <c r="AN500" s="46" t="s">
        <v>2563</v>
      </c>
      <c r="AO500" s="46" t="s">
        <v>2476</v>
      </c>
      <c r="AP500" s="46" t="s">
        <v>2405</v>
      </c>
      <c r="AQ500" s="46" t="s">
        <v>37</v>
      </c>
      <c r="AR500" s="47">
        <v>44125</v>
      </c>
      <c r="AS500" s="46" t="s">
        <v>37</v>
      </c>
      <c r="AT500" s="365"/>
      <c r="AU500" s="1107"/>
    </row>
    <row r="501" spans="1:47" ht="66.75" x14ac:dyDescent="0.25">
      <c r="A501" s="488"/>
      <c r="B501" s="131"/>
      <c r="C501" s="75"/>
      <c r="D501" s="568"/>
      <c r="E501" s="568"/>
      <c r="F501" s="75"/>
      <c r="G501" s="143"/>
      <c r="H501" s="118"/>
      <c r="I501" s="131"/>
      <c r="J501" s="188">
        <v>418</v>
      </c>
      <c r="K501" s="1059" t="s">
        <v>2365</v>
      </c>
      <c r="L501" s="915">
        <v>1362597.4527</v>
      </c>
      <c r="M501" s="915">
        <v>5097438.1105000004</v>
      </c>
      <c r="N501" s="118"/>
      <c r="O501" s="118" t="s">
        <v>2501</v>
      </c>
      <c r="P501" s="75" t="s">
        <v>193</v>
      </c>
      <c r="Q501" s="118"/>
      <c r="R501" s="118"/>
      <c r="S501" s="118"/>
      <c r="T501" s="601" t="s">
        <v>2684</v>
      </c>
      <c r="U501" s="24" t="s">
        <v>10</v>
      </c>
      <c r="V501" s="24" t="s">
        <v>16</v>
      </c>
      <c r="W501" s="24" t="s">
        <v>16</v>
      </c>
      <c r="X501" s="24" t="s">
        <v>193</v>
      </c>
      <c r="Y501" s="24" t="s">
        <v>2612</v>
      </c>
      <c r="Z501" s="46" t="s">
        <v>1253</v>
      </c>
      <c r="AA501" s="24">
        <v>1</v>
      </c>
      <c r="AB501" s="24" t="s">
        <v>2463</v>
      </c>
      <c r="AC501" s="24">
        <f>AD501+(AE501-AD501)/2</f>
        <v>89</v>
      </c>
      <c r="AD501" s="24">
        <v>73</v>
      </c>
      <c r="AE501" s="24">
        <v>105</v>
      </c>
      <c r="AF501" s="24"/>
      <c r="AG501" s="351"/>
      <c r="AH501" s="351"/>
      <c r="AI501" s="403" t="s">
        <v>23</v>
      </c>
      <c r="AJ501" s="103"/>
      <c r="AK501" s="103"/>
      <c r="AL501" s="351"/>
      <c r="AM501" s="351"/>
      <c r="AN501" s="46" t="s">
        <v>2563</v>
      </c>
      <c r="AO501" s="46" t="s">
        <v>2476</v>
      </c>
      <c r="AP501" s="46" t="s">
        <v>2405</v>
      </c>
      <c r="AQ501" s="46" t="s">
        <v>37</v>
      </c>
      <c r="AR501" s="47">
        <v>44125</v>
      </c>
      <c r="AS501" s="46" t="s">
        <v>37</v>
      </c>
      <c r="AT501" s="365"/>
      <c r="AU501" s="1107"/>
    </row>
    <row r="502" spans="1:47" ht="66.75" x14ac:dyDescent="0.25">
      <c r="A502" s="488"/>
      <c r="B502" s="131"/>
      <c r="C502" s="75"/>
      <c r="D502" s="568"/>
      <c r="E502" s="568"/>
      <c r="F502" s="75"/>
      <c r="G502" s="143"/>
      <c r="H502" s="118"/>
      <c r="I502" s="131"/>
      <c r="J502" s="188">
        <v>419</v>
      </c>
      <c r="K502" s="1059" t="s">
        <v>2366</v>
      </c>
      <c r="L502" s="915">
        <v>1362622.7466</v>
      </c>
      <c r="M502" s="915">
        <v>5097512.4336999999</v>
      </c>
      <c r="N502" s="118"/>
      <c r="O502" s="118" t="s">
        <v>2501</v>
      </c>
      <c r="P502" s="75" t="s">
        <v>193</v>
      </c>
      <c r="Q502" s="118"/>
      <c r="R502" s="118"/>
      <c r="S502" s="118"/>
      <c r="T502" s="601" t="s">
        <v>2684</v>
      </c>
      <c r="U502" s="24" t="s">
        <v>10</v>
      </c>
      <c r="V502" s="24" t="s">
        <v>16</v>
      </c>
      <c r="W502" s="24" t="s">
        <v>16</v>
      </c>
      <c r="X502" s="24" t="s">
        <v>193</v>
      </c>
      <c r="Y502" s="24" t="s">
        <v>2613</v>
      </c>
      <c r="Z502" s="46" t="s">
        <v>1253</v>
      </c>
      <c r="AA502" s="24">
        <v>1</v>
      </c>
      <c r="AB502" s="24" t="s">
        <v>2463</v>
      </c>
      <c r="AC502" s="24">
        <f>AD502+(AE502-AD502)/2</f>
        <v>89</v>
      </c>
      <c r="AD502" s="24">
        <v>73</v>
      </c>
      <c r="AE502" s="24">
        <v>105</v>
      </c>
      <c r="AF502" s="24"/>
      <c r="AG502" s="351"/>
      <c r="AH502" s="351"/>
      <c r="AI502" s="403" t="s">
        <v>23</v>
      </c>
      <c r="AJ502" s="103"/>
      <c r="AK502" s="103"/>
      <c r="AL502" s="351"/>
      <c r="AM502" s="351"/>
      <c r="AN502" s="46" t="s">
        <v>2563</v>
      </c>
      <c r="AO502" s="46" t="s">
        <v>2476</v>
      </c>
      <c r="AP502" s="46" t="s">
        <v>2405</v>
      </c>
      <c r="AQ502" s="46" t="s">
        <v>37</v>
      </c>
      <c r="AR502" s="47">
        <v>44125</v>
      </c>
      <c r="AS502" s="46" t="s">
        <v>37</v>
      </c>
      <c r="AT502" s="365"/>
      <c r="AU502" s="1107"/>
    </row>
    <row r="503" spans="1:47" ht="66.75" x14ac:dyDescent="0.25">
      <c r="A503" s="488"/>
      <c r="B503" s="131"/>
      <c r="C503" s="75"/>
      <c r="D503" s="568"/>
      <c r="E503" s="568"/>
      <c r="F503" s="75"/>
      <c r="G503" s="143"/>
      <c r="H503" s="118"/>
      <c r="I503" s="131"/>
      <c r="J503" s="188">
        <v>420</v>
      </c>
      <c r="K503" s="1059" t="s">
        <v>2367</v>
      </c>
      <c r="L503" s="915">
        <v>1362532.9014999999</v>
      </c>
      <c r="M503" s="915">
        <v>5096990.8814000003</v>
      </c>
      <c r="N503" s="118"/>
      <c r="O503" s="118" t="s">
        <v>2501</v>
      </c>
      <c r="P503" s="75" t="s">
        <v>193</v>
      </c>
      <c r="Q503" s="118"/>
      <c r="R503" s="118"/>
      <c r="S503" s="118"/>
      <c r="T503" s="601" t="s">
        <v>2684</v>
      </c>
      <c r="U503" s="24" t="s">
        <v>10</v>
      </c>
      <c r="V503" s="24" t="s">
        <v>10</v>
      </c>
      <c r="W503" s="24" t="s">
        <v>10</v>
      </c>
      <c r="X503" s="24" t="s">
        <v>193</v>
      </c>
      <c r="Y503" s="24" t="s">
        <v>2614</v>
      </c>
      <c r="Z503" s="46" t="s">
        <v>1253</v>
      </c>
      <c r="AA503" s="24">
        <v>1</v>
      </c>
      <c r="AB503" s="24" t="s">
        <v>2462</v>
      </c>
      <c r="AC503" s="24">
        <v>26.5</v>
      </c>
      <c r="AD503" s="24">
        <f>26.5-4</f>
        <v>22.5</v>
      </c>
      <c r="AE503" s="24">
        <f>26.5+4</f>
        <v>30.5</v>
      </c>
      <c r="AF503" s="24"/>
      <c r="AG503" s="351"/>
      <c r="AH503" s="351"/>
      <c r="AI503" s="403" t="s">
        <v>23</v>
      </c>
      <c r="AJ503" s="103"/>
      <c r="AK503" s="103"/>
      <c r="AL503" s="351"/>
      <c r="AM503" s="351"/>
      <c r="AN503" s="46" t="s">
        <v>2563</v>
      </c>
      <c r="AO503" s="46" t="s">
        <v>2476</v>
      </c>
      <c r="AP503" s="46" t="s">
        <v>2405</v>
      </c>
      <c r="AQ503" s="46" t="s">
        <v>37</v>
      </c>
      <c r="AR503" s="47">
        <v>44125</v>
      </c>
      <c r="AS503" s="46" t="s">
        <v>37</v>
      </c>
      <c r="AT503" s="365"/>
      <c r="AU503" s="1107"/>
    </row>
    <row r="504" spans="1:47" ht="67.5" thickBot="1" x14ac:dyDescent="0.3">
      <c r="A504" s="489"/>
      <c r="B504" s="133"/>
      <c r="C504" s="78"/>
      <c r="D504" s="569"/>
      <c r="E504" s="569"/>
      <c r="F504" s="78"/>
      <c r="G504" s="144"/>
      <c r="H504" s="119"/>
      <c r="I504" s="133"/>
      <c r="J504" s="192">
        <v>421</v>
      </c>
      <c r="K504" s="1060" t="s">
        <v>2368</v>
      </c>
      <c r="L504" s="916">
        <v>1362493.7490000001</v>
      </c>
      <c r="M504" s="916">
        <v>5096813.7303999998</v>
      </c>
      <c r="N504" s="119"/>
      <c r="O504" s="119" t="s">
        <v>2498</v>
      </c>
      <c r="P504" s="78" t="s">
        <v>193</v>
      </c>
      <c r="Q504" s="119"/>
      <c r="R504" s="119"/>
      <c r="S504" s="119"/>
      <c r="T504" s="267" t="s">
        <v>2681</v>
      </c>
      <c r="U504" s="24" t="s">
        <v>10</v>
      </c>
      <c r="V504" s="24" t="s">
        <v>10</v>
      </c>
      <c r="W504" s="24" t="s">
        <v>10</v>
      </c>
      <c r="X504" s="24" t="s">
        <v>193</v>
      </c>
      <c r="Y504" s="24" t="s">
        <v>2615</v>
      </c>
      <c r="Z504" s="46" t="s">
        <v>1253</v>
      </c>
      <c r="AA504" s="24">
        <v>1</v>
      </c>
      <c r="AB504" s="24" t="s">
        <v>2462</v>
      </c>
      <c r="AC504" s="24">
        <v>26.5</v>
      </c>
      <c r="AD504" s="24">
        <f>26.5-4</f>
        <v>22.5</v>
      </c>
      <c r="AE504" s="24">
        <f>26.5+4</f>
        <v>30.5</v>
      </c>
      <c r="AF504" s="24"/>
      <c r="AG504" s="351"/>
      <c r="AH504" s="351"/>
      <c r="AI504" s="403" t="s">
        <v>23</v>
      </c>
      <c r="AJ504" s="103"/>
      <c r="AK504" s="103"/>
      <c r="AL504" s="351"/>
      <c r="AM504" s="351"/>
      <c r="AN504" s="46" t="s">
        <v>2563</v>
      </c>
      <c r="AO504" s="46" t="s">
        <v>2476</v>
      </c>
      <c r="AP504" s="46" t="s">
        <v>2405</v>
      </c>
      <c r="AQ504" s="46" t="s">
        <v>37</v>
      </c>
      <c r="AR504" s="47">
        <v>44125</v>
      </c>
      <c r="AS504" s="46" t="s">
        <v>37</v>
      </c>
      <c r="AT504" s="365"/>
      <c r="AU504" s="1107"/>
    </row>
    <row r="505" spans="1:47" s="135" customFormat="1" ht="115.5" x14ac:dyDescent="0.25">
      <c r="A505" s="341" t="s">
        <v>1247</v>
      </c>
      <c r="B505" s="181" t="s">
        <v>5500</v>
      </c>
      <c r="C505" s="125">
        <v>498</v>
      </c>
      <c r="D505" s="585" t="s">
        <v>52</v>
      </c>
      <c r="E505" s="585"/>
      <c r="F505" s="125" t="s">
        <v>1262</v>
      </c>
      <c r="G505" s="145" t="s">
        <v>1263</v>
      </c>
      <c r="H505" s="126" t="s">
        <v>5501</v>
      </c>
      <c r="I505" s="247" t="s">
        <v>5502</v>
      </c>
      <c r="J505" s="125">
        <v>227</v>
      </c>
      <c r="K505" s="355" t="s">
        <v>1265</v>
      </c>
      <c r="L505" s="911">
        <v>1365054.9724000001</v>
      </c>
      <c r="M505" s="911">
        <v>5098562.1675000004</v>
      </c>
      <c r="N505" s="126"/>
      <c r="O505" s="126" t="s">
        <v>1288</v>
      </c>
      <c r="P505" s="126" t="s">
        <v>193</v>
      </c>
      <c r="Q505" s="126"/>
      <c r="R505" s="126"/>
      <c r="S505" s="126"/>
      <c r="T505" s="126" t="s">
        <v>1249</v>
      </c>
      <c r="U505" s="169" t="s">
        <v>16</v>
      </c>
      <c r="V505" s="151" t="s">
        <v>10</v>
      </c>
      <c r="W505" s="151" t="s">
        <v>16</v>
      </c>
      <c r="X505" s="153" t="s">
        <v>193</v>
      </c>
      <c r="Y505" s="153" t="s">
        <v>41</v>
      </c>
      <c r="Z505" s="152" t="s">
        <v>1253</v>
      </c>
      <c r="AA505" s="153">
        <v>1</v>
      </c>
      <c r="AB505" s="153" t="s">
        <v>1255</v>
      </c>
      <c r="AC505" s="151">
        <v>104.9</v>
      </c>
      <c r="AD505" s="151">
        <v>98.9</v>
      </c>
      <c r="AE505" s="151">
        <v>110.9</v>
      </c>
      <c r="AF505" s="151"/>
      <c r="AG505" s="151"/>
      <c r="AH505" s="151"/>
      <c r="AI505" s="203" t="s">
        <v>23</v>
      </c>
      <c r="AJ505" s="202"/>
      <c r="AK505" s="202"/>
      <c r="AL505" s="442"/>
      <c r="AM505" s="442"/>
      <c r="AN505" s="30" t="s">
        <v>1258</v>
      </c>
      <c r="AO505" s="30" t="s">
        <v>1259</v>
      </c>
      <c r="AP505" s="152" t="s">
        <v>1261</v>
      </c>
      <c r="AQ505" s="152" t="s">
        <v>37</v>
      </c>
      <c r="AR505" s="170">
        <v>44095</v>
      </c>
      <c r="AS505" s="152" t="s">
        <v>37</v>
      </c>
      <c r="AT505" s="361"/>
      <c r="AU505" s="1112"/>
    </row>
    <row r="506" spans="1:47" s="135" customFormat="1" ht="64.5" x14ac:dyDescent="0.25">
      <c r="A506" s="339"/>
      <c r="B506" s="116"/>
      <c r="C506" s="95"/>
      <c r="D506" s="567"/>
      <c r="E506" s="567"/>
      <c r="F506" s="95"/>
      <c r="G506" s="146"/>
      <c r="H506" s="108"/>
      <c r="I506" s="122"/>
      <c r="J506" s="95">
        <v>228</v>
      </c>
      <c r="K506" s="359" t="s">
        <v>1266</v>
      </c>
      <c r="L506" s="913">
        <v>1364733.3733999999</v>
      </c>
      <c r="M506" s="913">
        <v>5096952.0769999996</v>
      </c>
      <c r="N506" s="108"/>
      <c r="O506" s="108" t="s">
        <v>1289</v>
      </c>
      <c r="P506" s="108" t="s">
        <v>193</v>
      </c>
      <c r="Q506" s="108"/>
      <c r="R506" s="108"/>
      <c r="S506" s="108"/>
      <c r="T506" s="108" t="s">
        <v>1248</v>
      </c>
      <c r="U506" s="138" t="s">
        <v>16</v>
      </c>
      <c r="V506" s="136" t="s">
        <v>10</v>
      </c>
      <c r="W506" s="136" t="s">
        <v>16</v>
      </c>
      <c r="X506" s="132" t="s">
        <v>193</v>
      </c>
      <c r="Y506" s="132" t="s">
        <v>41</v>
      </c>
      <c r="Z506" s="137" t="s">
        <v>1253</v>
      </c>
      <c r="AA506" s="132">
        <v>1</v>
      </c>
      <c r="AB506" s="132" t="s">
        <v>1255</v>
      </c>
      <c r="AC506" s="136">
        <v>104.9</v>
      </c>
      <c r="AD506" s="136">
        <v>98.9</v>
      </c>
      <c r="AE506" s="136">
        <v>110.9</v>
      </c>
      <c r="AF506" s="136"/>
      <c r="AG506" s="136"/>
      <c r="AH506" s="136"/>
      <c r="AI506" s="180" t="s">
        <v>23</v>
      </c>
      <c r="AJ506" s="173"/>
      <c r="AK506" s="173"/>
      <c r="AL506" s="350"/>
      <c r="AM506" s="350"/>
      <c r="AN506" s="45" t="s">
        <v>1258</v>
      </c>
      <c r="AO506" s="45" t="s">
        <v>1259</v>
      </c>
      <c r="AP506" s="137" t="s">
        <v>1261</v>
      </c>
      <c r="AQ506" s="137" t="s">
        <v>37</v>
      </c>
      <c r="AR506" s="139">
        <v>44095</v>
      </c>
      <c r="AS506" s="137" t="s">
        <v>37</v>
      </c>
      <c r="AT506" s="358"/>
      <c r="AU506" s="1110"/>
    </row>
    <row r="507" spans="1:47" s="135" customFormat="1" ht="64.5" x14ac:dyDescent="0.25">
      <c r="A507" s="339"/>
      <c r="B507" s="116"/>
      <c r="C507" s="95"/>
      <c r="D507" s="567"/>
      <c r="E507" s="567"/>
      <c r="F507" s="95"/>
      <c r="G507" s="146"/>
      <c r="H507" s="108"/>
      <c r="I507" s="122"/>
      <c r="J507" s="95">
        <v>229</v>
      </c>
      <c r="K507" s="359" t="s">
        <v>1267</v>
      </c>
      <c r="L507" s="913">
        <v>1364590.2335000001</v>
      </c>
      <c r="M507" s="913">
        <v>5096174.9940999998</v>
      </c>
      <c r="N507" s="108"/>
      <c r="O507" s="108" t="s">
        <v>1250</v>
      </c>
      <c r="P507" s="108" t="s">
        <v>193</v>
      </c>
      <c r="Q507" s="108"/>
      <c r="R507" s="108"/>
      <c r="S507" s="108"/>
      <c r="T507" s="108" t="s">
        <v>1252</v>
      </c>
      <c r="U507" s="138" t="s">
        <v>16</v>
      </c>
      <c r="V507" s="136" t="s">
        <v>10</v>
      </c>
      <c r="W507" s="136" t="s">
        <v>16</v>
      </c>
      <c r="X507" s="132" t="s">
        <v>193</v>
      </c>
      <c r="Y507" s="132" t="s">
        <v>41</v>
      </c>
      <c r="Z507" s="137" t="s">
        <v>1253</v>
      </c>
      <c r="AA507" s="132">
        <v>1</v>
      </c>
      <c r="AB507" s="132" t="s">
        <v>1256</v>
      </c>
      <c r="AC507" s="136">
        <v>26.5</v>
      </c>
      <c r="AD507" s="136">
        <v>22.5</v>
      </c>
      <c r="AE507" s="136">
        <v>30.5</v>
      </c>
      <c r="AF507" s="136"/>
      <c r="AG507" s="136"/>
      <c r="AH507" s="136"/>
      <c r="AI507" s="180" t="s">
        <v>256</v>
      </c>
      <c r="AJ507" s="173"/>
      <c r="AK507" s="173"/>
      <c r="AL507" s="350"/>
      <c r="AM507" s="350"/>
      <c r="AN507" s="45" t="s">
        <v>1258</v>
      </c>
      <c r="AO507" s="45" t="s">
        <v>1264</v>
      </c>
      <c r="AP507" s="137" t="s">
        <v>1261</v>
      </c>
      <c r="AQ507" s="137" t="s">
        <v>37</v>
      </c>
      <c r="AR507" s="139">
        <v>44095</v>
      </c>
      <c r="AS507" s="137" t="s">
        <v>37</v>
      </c>
      <c r="AT507" s="358"/>
      <c r="AU507" s="1110"/>
    </row>
    <row r="508" spans="1:47" s="135" customFormat="1" ht="65.25" thickBot="1" x14ac:dyDescent="0.3">
      <c r="A508" s="339"/>
      <c r="B508" s="116"/>
      <c r="C508" s="95"/>
      <c r="D508" s="567"/>
      <c r="E508" s="567"/>
      <c r="F508" s="95"/>
      <c r="G508" s="146"/>
      <c r="H508" s="108"/>
      <c r="I508" s="122"/>
      <c r="J508" s="96">
        <v>230</v>
      </c>
      <c r="K508" s="357" t="s">
        <v>1268</v>
      </c>
      <c r="L508" s="912">
        <v>1364411.3748000001</v>
      </c>
      <c r="M508" s="912">
        <v>5094006.7293999996</v>
      </c>
      <c r="N508" s="107"/>
      <c r="O508" s="107" t="s">
        <v>1290</v>
      </c>
      <c r="P508" s="107" t="s">
        <v>193</v>
      </c>
      <c r="Q508" s="107"/>
      <c r="R508" s="107"/>
      <c r="S508" s="107"/>
      <c r="T508" s="107" t="s">
        <v>1251</v>
      </c>
      <c r="U508" s="171" t="s">
        <v>16</v>
      </c>
      <c r="V508" s="154" t="s">
        <v>10</v>
      </c>
      <c r="W508" s="154" t="s">
        <v>16</v>
      </c>
      <c r="X508" s="156" t="s">
        <v>193</v>
      </c>
      <c r="Y508" s="156" t="s">
        <v>41</v>
      </c>
      <c r="Z508" s="155" t="s">
        <v>1253</v>
      </c>
      <c r="AA508" s="156">
        <v>1</v>
      </c>
      <c r="AB508" s="156" t="s">
        <v>1257</v>
      </c>
      <c r="AC508" s="154">
        <v>17.399999999999999</v>
      </c>
      <c r="AD508" s="154">
        <v>7.4</v>
      </c>
      <c r="AE508" s="154">
        <v>27.4</v>
      </c>
      <c r="AF508" s="154"/>
      <c r="AG508" s="154"/>
      <c r="AH508" s="154"/>
      <c r="AI508" s="183" t="s">
        <v>256</v>
      </c>
      <c r="AJ508" s="201"/>
      <c r="AK508" s="201"/>
      <c r="AL508" s="443"/>
      <c r="AM508" s="443"/>
      <c r="AN508" s="51" t="s">
        <v>1258</v>
      </c>
      <c r="AO508" s="51" t="s">
        <v>1260</v>
      </c>
      <c r="AP508" s="155" t="s">
        <v>1261</v>
      </c>
      <c r="AQ508" s="155" t="s">
        <v>37</v>
      </c>
      <c r="AR508" s="172">
        <v>44095</v>
      </c>
      <c r="AS508" s="155" t="s">
        <v>37</v>
      </c>
      <c r="AT508" s="362"/>
      <c r="AU508" s="1111"/>
    </row>
    <row r="509" spans="1:47" s="135" customFormat="1" ht="39.75" thickBot="1" x14ac:dyDescent="0.3">
      <c r="A509" s="339"/>
      <c r="B509" s="116"/>
      <c r="C509" s="95"/>
      <c r="D509" s="567"/>
      <c r="E509" s="567"/>
      <c r="F509" s="95"/>
      <c r="G509" s="146"/>
      <c r="H509" s="108"/>
      <c r="I509" s="122"/>
      <c r="J509" s="84">
        <v>234</v>
      </c>
      <c r="K509" s="396" t="s">
        <v>1281</v>
      </c>
      <c r="L509" s="265">
        <v>1364415.9276000001</v>
      </c>
      <c r="M509" s="265">
        <v>5094041.9463</v>
      </c>
      <c r="N509" s="109"/>
      <c r="O509" s="109" t="s">
        <v>1277</v>
      </c>
      <c r="P509" s="109" t="s">
        <v>194</v>
      </c>
      <c r="Q509" s="109"/>
      <c r="R509" s="109"/>
      <c r="S509" s="109"/>
      <c r="T509" s="343" t="s">
        <v>1254</v>
      </c>
      <c r="U509" s="206" t="s">
        <v>85</v>
      </c>
      <c r="V509" s="204" t="s">
        <v>16</v>
      </c>
      <c r="W509" s="204" t="s">
        <v>85</v>
      </c>
      <c r="X509" s="176" t="s">
        <v>194</v>
      </c>
      <c r="Y509" s="176">
        <v>15</v>
      </c>
      <c r="Z509" s="208" t="s">
        <v>1253</v>
      </c>
      <c r="AA509" s="176">
        <v>1</v>
      </c>
      <c r="AB509" s="176" t="s">
        <v>1278</v>
      </c>
      <c r="AC509" s="204">
        <v>22</v>
      </c>
      <c r="AD509" s="204"/>
      <c r="AE509" s="204"/>
      <c r="AF509" s="204"/>
      <c r="AG509" s="204"/>
      <c r="AH509" s="204"/>
      <c r="AI509" s="207" t="s">
        <v>256</v>
      </c>
      <c r="AJ509" s="205"/>
      <c r="AK509" s="205"/>
      <c r="AL509" s="353"/>
      <c r="AM509" s="353"/>
      <c r="AN509" s="94" t="s">
        <v>1279</v>
      </c>
      <c r="AO509" s="94" t="s">
        <v>1280</v>
      </c>
      <c r="AP509" s="208" t="s">
        <v>1291</v>
      </c>
      <c r="AQ509" s="208" t="s">
        <v>37</v>
      </c>
      <c r="AR509" s="209">
        <v>44095</v>
      </c>
      <c r="AS509" s="208" t="s">
        <v>37</v>
      </c>
      <c r="AT509" s="364"/>
      <c r="AU509" s="1109"/>
    </row>
    <row r="510" spans="1:47" ht="51.75" x14ac:dyDescent="0.25">
      <c r="A510" s="339"/>
      <c r="B510" s="116"/>
      <c r="C510" s="95"/>
      <c r="D510" s="567"/>
      <c r="E510" s="567"/>
      <c r="F510" s="95"/>
      <c r="G510" s="146"/>
      <c r="H510" s="108"/>
      <c r="I510" s="122"/>
      <c r="J510" s="125">
        <v>309</v>
      </c>
      <c r="K510" s="1061" t="s">
        <v>2341</v>
      </c>
      <c r="L510" s="911">
        <v>1364787.1218000001</v>
      </c>
      <c r="M510" s="911">
        <v>5096737.4283999996</v>
      </c>
      <c r="N510" s="126"/>
      <c r="O510" s="126" t="s">
        <v>2418</v>
      </c>
      <c r="P510" s="125" t="s">
        <v>193</v>
      </c>
      <c r="Q510" s="126"/>
      <c r="R510" s="126"/>
      <c r="S510" s="126"/>
      <c r="T510" s="344" t="s">
        <v>2645</v>
      </c>
      <c r="U510" s="24" t="s">
        <v>16</v>
      </c>
      <c r="V510" s="24" t="s">
        <v>16</v>
      </c>
      <c r="W510" s="24" t="s">
        <v>16</v>
      </c>
      <c r="X510" s="24" t="s">
        <v>193</v>
      </c>
      <c r="Y510" s="24" t="s">
        <v>2446</v>
      </c>
      <c r="Z510" s="46" t="s">
        <v>1253</v>
      </c>
      <c r="AA510" s="24">
        <v>1</v>
      </c>
      <c r="AB510" s="24" t="s">
        <v>2463</v>
      </c>
      <c r="AC510" s="24">
        <f>AD510+(AE510-AD510)/2</f>
        <v>89</v>
      </c>
      <c r="AD510" s="24">
        <v>73</v>
      </c>
      <c r="AE510" s="24">
        <v>105</v>
      </c>
      <c r="AF510" s="24"/>
      <c r="AG510" s="351"/>
      <c r="AH510" s="351"/>
      <c r="AI510" s="403" t="s">
        <v>23</v>
      </c>
      <c r="AJ510" s="103"/>
      <c r="AK510" s="103"/>
      <c r="AL510" s="351"/>
      <c r="AM510" s="351"/>
      <c r="AN510" s="46" t="s">
        <v>2470</v>
      </c>
      <c r="AO510" s="46" t="s">
        <v>2476</v>
      </c>
      <c r="AP510" s="46" t="s">
        <v>2405</v>
      </c>
      <c r="AQ510" s="46" t="s">
        <v>37</v>
      </c>
      <c r="AR510" s="47">
        <v>44125</v>
      </c>
      <c r="AS510" s="46" t="s">
        <v>37</v>
      </c>
      <c r="AT510" s="365"/>
      <c r="AU510" s="1107"/>
    </row>
    <row r="511" spans="1:47" ht="51.75" x14ac:dyDescent="0.25">
      <c r="A511" s="339"/>
      <c r="B511" s="116"/>
      <c r="C511" s="95"/>
      <c r="D511" s="567"/>
      <c r="E511" s="567"/>
      <c r="F511" s="95"/>
      <c r="G511" s="146"/>
      <c r="H511" s="108"/>
      <c r="I511" s="122"/>
      <c r="J511" s="95">
        <v>310</v>
      </c>
      <c r="K511" s="1062" t="s">
        <v>2341</v>
      </c>
      <c r="L511" s="913">
        <v>1365041.5360000001</v>
      </c>
      <c r="M511" s="913">
        <v>5098717.3636999996</v>
      </c>
      <c r="N511" s="108"/>
      <c r="O511" s="108" t="s">
        <v>2419</v>
      </c>
      <c r="P511" s="95" t="s">
        <v>193</v>
      </c>
      <c r="Q511" s="108"/>
      <c r="R511" s="108"/>
      <c r="S511" s="108"/>
      <c r="T511" s="184" t="s">
        <v>2646</v>
      </c>
      <c r="U511" s="24" t="s">
        <v>16</v>
      </c>
      <c r="V511" s="24" t="s">
        <v>16</v>
      </c>
      <c r="W511" s="24" t="s">
        <v>16</v>
      </c>
      <c r="X511" s="24" t="s">
        <v>193</v>
      </c>
      <c r="Y511" s="24" t="s">
        <v>2447</v>
      </c>
      <c r="Z511" s="46" t="s">
        <v>1253</v>
      </c>
      <c r="AA511" s="24">
        <v>1</v>
      </c>
      <c r="AB511" s="24" t="s">
        <v>2463</v>
      </c>
      <c r="AC511" s="24">
        <f>AD511+(AE511-AD511)/2</f>
        <v>89</v>
      </c>
      <c r="AD511" s="24">
        <v>73</v>
      </c>
      <c r="AE511" s="24">
        <v>105</v>
      </c>
      <c r="AF511" s="24"/>
      <c r="AG511" s="351"/>
      <c r="AH511" s="351"/>
      <c r="AI511" s="403" t="s">
        <v>23</v>
      </c>
      <c r="AJ511" s="103"/>
      <c r="AK511" s="103"/>
      <c r="AL511" s="351"/>
      <c r="AM511" s="351"/>
      <c r="AN511" s="46" t="s">
        <v>2470</v>
      </c>
      <c r="AO511" s="46" t="s">
        <v>2476</v>
      </c>
      <c r="AP511" s="46" t="s">
        <v>2405</v>
      </c>
      <c r="AQ511" s="46" t="s">
        <v>37</v>
      </c>
      <c r="AR511" s="47">
        <v>44125</v>
      </c>
      <c r="AS511" s="46" t="s">
        <v>37</v>
      </c>
      <c r="AT511" s="365"/>
      <c r="AU511" s="1107"/>
    </row>
    <row r="512" spans="1:47" ht="51.75" x14ac:dyDescent="0.25">
      <c r="A512" s="339"/>
      <c r="B512" s="116"/>
      <c r="C512" s="95"/>
      <c r="D512" s="567"/>
      <c r="E512" s="567"/>
      <c r="F512" s="95"/>
      <c r="G512" s="146"/>
      <c r="H512" s="108"/>
      <c r="I512" s="122"/>
      <c r="J512" s="95">
        <v>311</v>
      </c>
      <c r="K512" s="1062" t="s">
        <v>2360</v>
      </c>
      <c r="L512" s="913">
        <v>1364605.7472000001</v>
      </c>
      <c r="M512" s="913">
        <v>5096044.6854999997</v>
      </c>
      <c r="N512" s="108"/>
      <c r="O512" s="108" t="s">
        <v>2420</v>
      </c>
      <c r="P512" s="95" t="s">
        <v>193</v>
      </c>
      <c r="Q512" s="108"/>
      <c r="R512" s="108"/>
      <c r="S512" s="108"/>
      <c r="T512" s="184" t="s">
        <v>2647</v>
      </c>
      <c r="U512" s="24" t="s">
        <v>16</v>
      </c>
      <c r="V512" s="24" t="s">
        <v>10</v>
      </c>
      <c r="W512" s="24" t="s">
        <v>16</v>
      </c>
      <c r="X512" s="24" t="s">
        <v>193</v>
      </c>
      <c r="Y512" s="24" t="s">
        <v>2448</v>
      </c>
      <c r="Z512" s="46" t="s">
        <v>1253</v>
      </c>
      <c r="AA512" s="24">
        <v>1</v>
      </c>
      <c r="AB512" s="24" t="s">
        <v>2461</v>
      </c>
      <c r="AC512" s="24">
        <v>15.2</v>
      </c>
      <c r="AD512" s="24">
        <v>12.8</v>
      </c>
      <c r="AE512" s="24">
        <v>17.600000000000001</v>
      </c>
      <c r="AF512" s="24"/>
      <c r="AG512" s="351"/>
      <c r="AH512" s="351"/>
      <c r="AI512" s="45" t="s">
        <v>256</v>
      </c>
      <c r="AJ512" s="103"/>
      <c r="AK512" s="103"/>
      <c r="AL512" s="351"/>
      <c r="AM512" s="351"/>
      <c r="AN512" s="46" t="s">
        <v>2470</v>
      </c>
      <c r="AO512" s="46" t="s">
        <v>2472</v>
      </c>
      <c r="AP512" s="46" t="s">
        <v>2405</v>
      </c>
      <c r="AQ512" s="46" t="s">
        <v>37</v>
      </c>
      <c r="AR512" s="47">
        <v>44125</v>
      </c>
      <c r="AS512" s="46" t="s">
        <v>37</v>
      </c>
      <c r="AT512" s="365"/>
      <c r="AU512" s="1107"/>
    </row>
    <row r="513" spans="1:47" ht="51.75" x14ac:dyDescent="0.25">
      <c r="A513" s="339"/>
      <c r="B513" s="116"/>
      <c r="C513" s="95"/>
      <c r="D513" s="567"/>
      <c r="E513" s="567"/>
      <c r="F513" s="95"/>
      <c r="G513" s="146"/>
      <c r="H513" s="108"/>
      <c r="I513" s="122"/>
      <c r="J513" s="95">
        <v>312</v>
      </c>
      <c r="K513" s="1062" t="s">
        <v>2363</v>
      </c>
      <c r="L513" s="913">
        <v>1364522.0651</v>
      </c>
      <c r="M513" s="913">
        <v>5093948.5071</v>
      </c>
      <c r="N513" s="108"/>
      <c r="O513" s="108" t="s">
        <v>2421</v>
      </c>
      <c r="P513" s="95" t="s">
        <v>193</v>
      </c>
      <c r="Q513" s="108"/>
      <c r="R513" s="108"/>
      <c r="S513" s="108"/>
      <c r="T513" s="184" t="s">
        <v>2648</v>
      </c>
      <c r="U513" s="24" t="s">
        <v>16</v>
      </c>
      <c r="V513" s="24" t="s">
        <v>10</v>
      </c>
      <c r="W513" s="24" t="s">
        <v>16</v>
      </c>
      <c r="X513" s="24" t="s">
        <v>193</v>
      </c>
      <c r="Y513" s="24" t="s">
        <v>2449</v>
      </c>
      <c r="Z513" s="46" t="s">
        <v>1253</v>
      </c>
      <c r="AA513" s="24">
        <v>1</v>
      </c>
      <c r="AB513" s="24" t="s">
        <v>2461</v>
      </c>
      <c r="AC513" s="24">
        <v>15.2</v>
      </c>
      <c r="AD513" s="24">
        <v>12.8</v>
      </c>
      <c r="AE513" s="24">
        <v>17.600000000000001</v>
      </c>
      <c r="AF513" s="24"/>
      <c r="AG513" s="351"/>
      <c r="AH513" s="351"/>
      <c r="AI513" s="45" t="s">
        <v>256</v>
      </c>
      <c r="AJ513" s="103"/>
      <c r="AK513" s="103"/>
      <c r="AL513" s="351"/>
      <c r="AM513" s="351"/>
      <c r="AN513" s="46" t="s">
        <v>2470</v>
      </c>
      <c r="AO513" s="46" t="s">
        <v>2472</v>
      </c>
      <c r="AP513" s="46" t="s">
        <v>2405</v>
      </c>
      <c r="AQ513" s="46" t="s">
        <v>37</v>
      </c>
      <c r="AR513" s="47">
        <v>44125</v>
      </c>
      <c r="AS513" s="46" t="s">
        <v>37</v>
      </c>
      <c r="AT513" s="365"/>
      <c r="AU513" s="1107"/>
    </row>
    <row r="514" spans="1:47" ht="51.75" x14ac:dyDescent="0.25">
      <c r="A514" s="339"/>
      <c r="B514" s="116"/>
      <c r="C514" s="95"/>
      <c r="D514" s="567"/>
      <c r="E514" s="567"/>
      <c r="F514" s="95"/>
      <c r="G514" s="146"/>
      <c r="H514" s="108"/>
      <c r="I514" s="122"/>
      <c r="J514" s="95">
        <v>313</v>
      </c>
      <c r="K514" s="1062" t="s">
        <v>2396</v>
      </c>
      <c r="L514" s="913">
        <v>1361188.8788999999</v>
      </c>
      <c r="M514" s="913">
        <v>5083475.9233999997</v>
      </c>
      <c r="N514" s="108"/>
      <c r="O514" s="108" t="s">
        <v>2422</v>
      </c>
      <c r="P514" s="95" t="s">
        <v>193</v>
      </c>
      <c r="Q514" s="108"/>
      <c r="R514" s="108"/>
      <c r="S514" s="108"/>
      <c r="T514" s="184" t="s">
        <v>2649</v>
      </c>
      <c r="U514" s="24" t="s">
        <v>16</v>
      </c>
      <c r="V514" s="24" t="s">
        <v>16</v>
      </c>
      <c r="W514" s="24" t="s">
        <v>16</v>
      </c>
      <c r="X514" s="24" t="s">
        <v>193</v>
      </c>
      <c r="Y514" s="24" t="s">
        <v>2450</v>
      </c>
      <c r="Z514" s="46" t="s">
        <v>1253</v>
      </c>
      <c r="AA514" s="24">
        <v>1</v>
      </c>
      <c r="AB514" s="24" t="s">
        <v>2463</v>
      </c>
      <c r="AC514" s="24">
        <f>AD514+(AE514-AD514)/2</f>
        <v>89</v>
      </c>
      <c r="AD514" s="24">
        <v>73</v>
      </c>
      <c r="AE514" s="24">
        <v>105</v>
      </c>
      <c r="AF514" s="24"/>
      <c r="AG514" s="351"/>
      <c r="AH514" s="351"/>
      <c r="AI514" s="45" t="s">
        <v>256</v>
      </c>
      <c r="AJ514" s="103"/>
      <c r="AK514" s="103"/>
      <c r="AL514" s="351"/>
      <c r="AM514" s="351"/>
      <c r="AN514" s="46" t="s">
        <v>2471</v>
      </c>
      <c r="AO514" s="46" t="s">
        <v>2475</v>
      </c>
      <c r="AP514" s="46" t="s">
        <v>2405</v>
      </c>
      <c r="AQ514" s="46" t="s">
        <v>37</v>
      </c>
      <c r="AR514" s="47">
        <v>44125</v>
      </c>
      <c r="AS514" s="46" t="s">
        <v>37</v>
      </c>
      <c r="AT514" s="365"/>
      <c r="AU514" s="1107"/>
    </row>
    <row r="515" spans="1:47" ht="51.75" x14ac:dyDescent="0.25">
      <c r="A515" s="339"/>
      <c r="B515" s="116"/>
      <c r="C515" s="95"/>
      <c r="D515" s="567"/>
      <c r="E515" s="567"/>
      <c r="F515" s="95"/>
      <c r="G515" s="146"/>
      <c r="H515" s="108"/>
      <c r="I515" s="122"/>
      <c r="J515" s="95">
        <v>314</v>
      </c>
      <c r="K515" s="1062" t="s">
        <v>2397</v>
      </c>
      <c r="L515" s="913">
        <v>1361105.9513999999</v>
      </c>
      <c r="M515" s="913">
        <v>5085174.6630999995</v>
      </c>
      <c r="N515" s="108"/>
      <c r="O515" s="108" t="s">
        <v>2423</v>
      </c>
      <c r="P515" s="95" t="s">
        <v>193</v>
      </c>
      <c r="Q515" s="108"/>
      <c r="R515" s="108"/>
      <c r="S515" s="108"/>
      <c r="T515" s="184" t="s">
        <v>2650</v>
      </c>
      <c r="U515" s="24" t="s">
        <v>16</v>
      </c>
      <c r="V515" s="24" t="s">
        <v>10</v>
      </c>
      <c r="W515" s="24" t="s">
        <v>16</v>
      </c>
      <c r="X515" s="24" t="s">
        <v>193</v>
      </c>
      <c r="Y515" s="24" t="s">
        <v>2451</v>
      </c>
      <c r="Z515" s="46" t="s">
        <v>1253</v>
      </c>
      <c r="AA515" s="24">
        <v>1</v>
      </c>
      <c r="AB515" s="24" t="s">
        <v>2462</v>
      </c>
      <c r="AC515" s="24">
        <v>26.5</v>
      </c>
      <c r="AD515" s="24">
        <f>26.5-4</f>
        <v>22.5</v>
      </c>
      <c r="AE515" s="24">
        <f>26.5+4</f>
        <v>30.5</v>
      </c>
      <c r="AF515" s="24"/>
      <c r="AG515" s="351"/>
      <c r="AH515" s="351"/>
      <c r="AI515" s="45" t="s">
        <v>256</v>
      </c>
      <c r="AJ515" s="103"/>
      <c r="AK515" s="103"/>
      <c r="AL515" s="351"/>
      <c r="AM515" s="351"/>
      <c r="AN515" s="46" t="s">
        <v>2471</v>
      </c>
      <c r="AO515" s="46" t="s">
        <v>2473</v>
      </c>
      <c r="AP515" s="46" t="s">
        <v>2405</v>
      </c>
      <c r="AQ515" s="46" t="s">
        <v>37</v>
      </c>
      <c r="AR515" s="47">
        <v>44125</v>
      </c>
      <c r="AS515" s="46" t="s">
        <v>37</v>
      </c>
      <c r="AT515" s="365"/>
      <c r="AU515" s="1107"/>
    </row>
    <row r="516" spans="1:47" ht="51.75" x14ac:dyDescent="0.25">
      <c r="A516" s="339"/>
      <c r="B516" s="116"/>
      <c r="C516" s="95"/>
      <c r="D516" s="567"/>
      <c r="E516" s="567"/>
      <c r="F516" s="95"/>
      <c r="G516" s="146"/>
      <c r="H516" s="108"/>
      <c r="I516" s="122"/>
      <c r="J516" s="95">
        <v>315</v>
      </c>
      <c r="K516" s="1062" t="s">
        <v>2398</v>
      </c>
      <c r="L516" s="913">
        <v>1361211.4251000001</v>
      </c>
      <c r="M516" s="913">
        <v>5085433.2319999998</v>
      </c>
      <c r="N516" s="108"/>
      <c r="O516" s="108" t="s">
        <v>2424</v>
      </c>
      <c r="P516" s="95" t="s">
        <v>193</v>
      </c>
      <c r="Q516" s="108"/>
      <c r="R516" s="108"/>
      <c r="S516" s="108"/>
      <c r="T516" s="184" t="s">
        <v>2651</v>
      </c>
      <c r="U516" s="24" t="s">
        <v>16</v>
      </c>
      <c r="V516" s="24" t="s">
        <v>10</v>
      </c>
      <c r="W516" s="24" t="s">
        <v>16</v>
      </c>
      <c r="X516" s="24" t="s">
        <v>193</v>
      </c>
      <c r="Y516" s="24" t="s">
        <v>2452</v>
      </c>
      <c r="Z516" s="46" t="s">
        <v>1253</v>
      </c>
      <c r="AA516" s="24">
        <v>1</v>
      </c>
      <c r="AB516" s="24" t="s">
        <v>2462</v>
      </c>
      <c r="AC516" s="24">
        <v>26.5</v>
      </c>
      <c r="AD516" s="24">
        <f>26.5-4</f>
        <v>22.5</v>
      </c>
      <c r="AE516" s="24">
        <f>26.5+4</f>
        <v>30.5</v>
      </c>
      <c r="AF516" s="24"/>
      <c r="AG516" s="351"/>
      <c r="AH516" s="351"/>
      <c r="AI516" s="45" t="s">
        <v>256</v>
      </c>
      <c r="AJ516" s="103"/>
      <c r="AK516" s="103"/>
      <c r="AL516" s="351"/>
      <c r="AM516" s="351"/>
      <c r="AN516" s="46" t="s">
        <v>2471</v>
      </c>
      <c r="AO516" s="46" t="s">
        <v>2473</v>
      </c>
      <c r="AP516" s="46" t="s">
        <v>2405</v>
      </c>
      <c r="AQ516" s="46" t="s">
        <v>37</v>
      </c>
      <c r="AR516" s="47">
        <v>44125</v>
      </c>
      <c r="AS516" s="46" t="s">
        <v>37</v>
      </c>
      <c r="AT516" s="365"/>
      <c r="AU516" s="1107"/>
    </row>
    <row r="517" spans="1:47" ht="51.75" x14ac:dyDescent="0.25">
      <c r="A517" s="339"/>
      <c r="B517" s="116"/>
      <c r="C517" s="95"/>
      <c r="D517" s="567"/>
      <c r="E517" s="567"/>
      <c r="F517" s="95"/>
      <c r="G517" s="146"/>
      <c r="H517" s="108"/>
      <c r="I517" s="122"/>
      <c r="J517" s="95">
        <v>316</v>
      </c>
      <c r="K517" s="1062" t="s">
        <v>2399</v>
      </c>
      <c r="L517" s="913">
        <v>1358763.8465</v>
      </c>
      <c r="M517" s="913">
        <v>5079144.3559999997</v>
      </c>
      <c r="N517" s="108"/>
      <c r="O517" s="108" t="s">
        <v>2414</v>
      </c>
      <c r="P517" s="95" t="s">
        <v>193</v>
      </c>
      <c r="Q517" s="108"/>
      <c r="R517" s="108"/>
      <c r="S517" s="108"/>
      <c r="T517" s="184" t="s">
        <v>2652</v>
      </c>
      <c r="U517" s="24" t="s">
        <v>16</v>
      </c>
      <c r="V517" s="24" t="s">
        <v>16</v>
      </c>
      <c r="W517" s="24" t="s">
        <v>16</v>
      </c>
      <c r="X517" s="24" t="s">
        <v>193</v>
      </c>
      <c r="Y517" s="24" t="s">
        <v>2453</v>
      </c>
      <c r="Z517" s="46" t="s">
        <v>1253</v>
      </c>
      <c r="AA517" s="24">
        <v>1</v>
      </c>
      <c r="AB517" s="24" t="s">
        <v>2464</v>
      </c>
      <c r="AC517" s="24">
        <v>110.8</v>
      </c>
      <c r="AD517" s="24">
        <f>110.8-11.5</f>
        <v>99.3</v>
      </c>
      <c r="AE517" s="24">
        <f>110.8+11.5</f>
        <v>122.3</v>
      </c>
      <c r="AF517" s="24"/>
      <c r="AG517" s="351"/>
      <c r="AH517" s="351"/>
      <c r="AI517" s="45" t="s">
        <v>2469</v>
      </c>
      <c r="AJ517" s="103"/>
      <c r="AK517" s="103"/>
      <c r="AL517" s="351"/>
      <c r="AM517" s="351"/>
      <c r="AN517" s="46" t="s">
        <v>2470</v>
      </c>
      <c r="AO517" s="46" t="s">
        <v>2478</v>
      </c>
      <c r="AP517" s="46" t="s">
        <v>2405</v>
      </c>
      <c r="AQ517" s="46" t="s">
        <v>37</v>
      </c>
      <c r="AR517" s="47">
        <v>44125</v>
      </c>
      <c r="AS517" s="46" t="s">
        <v>37</v>
      </c>
      <c r="AT517" s="365"/>
      <c r="AU517" s="1107"/>
    </row>
    <row r="518" spans="1:47" ht="51.75" x14ac:dyDescent="0.25">
      <c r="A518" s="339"/>
      <c r="B518" s="116"/>
      <c r="C518" s="95"/>
      <c r="D518" s="567"/>
      <c r="E518" s="567"/>
      <c r="F518" s="95"/>
      <c r="G518" s="146"/>
      <c r="H518" s="108"/>
      <c r="I518" s="122"/>
      <c r="J518" s="95">
        <v>317</v>
      </c>
      <c r="K518" s="1062" t="s">
        <v>2400</v>
      </c>
      <c r="L518" s="913">
        <v>1359789.1808</v>
      </c>
      <c r="M518" s="913">
        <v>5078759.5668000001</v>
      </c>
      <c r="N518" s="108"/>
      <c r="O518" s="108" t="s">
        <v>2425</v>
      </c>
      <c r="P518" s="95" t="s">
        <v>193</v>
      </c>
      <c r="Q518" s="108"/>
      <c r="R518" s="108"/>
      <c r="S518" s="108"/>
      <c r="T518" s="184" t="s">
        <v>2653</v>
      </c>
      <c r="U518" s="24" t="s">
        <v>16</v>
      </c>
      <c r="V518" s="24" t="s">
        <v>16</v>
      </c>
      <c r="W518" s="24" t="s">
        <v>16</v>
      </c>
      <c r="X518" s="24" t="s">
        <v>193</v>
      </c>
      <c r="Y518" s="24" t="s">
        <v>2454</v>
      </c>
      <c r="Z518" s="46" t="s">
        <v>1253</v>
      </c>
      <c r="AA518" s="24">
        <v>1</v>
      </c>
      <c r="AB518" s="24" t="s">
        <v>2464</v>
      </c>
      <c r="AC518" s="24">
        <v>110.8</v>
      </c>
      <c r="AD518" s="24">
        <f>110.8-11.5</f>
        <v>99.3</v>
      </c>
      <c r="AE518" s="24">
        <f>110.8+11.5</f>
        <v>122.3</v>
      </c>
      <c r="AF518" s="24"/>
      <c r="AG518" s="351"/>
      <c r="AH518" s="351"/>
      <c r="AI518" s="45" t="s">
        <v>2469</v>
      </c>
      <c r="AJ518" s="103"/>
      <c r="AK518" s="103"/>
      <c r="AL518" s="351"/>
      <c r="AM518" s="351"/>
      <c r="AN518" s="46" t="s">
        <v>2470</v>
      </c>
      <c r="AO518" s="46" t="s">
        <v>2478</v>
      </c>
      <c r="AP518" s="46" t="s">
        <v>2405</v>
      </c>
      <c r="AQ518" s="46" t="s">
        <v>37</v>
      </c>
      <c r="AR518" s="47">
        <v>44125</v>
      </c>
      <c r="AS518" s="46" t="s">
        <v>37</v>
      </c>
      <c r="AT518" s="365"/>
      <c r="AU518" s="1107"/>
    </row>
    <row r="519" spans="1:47" ht="51.75" x14ac:dyDescent="0.25">
      <c r="A519" s="339"/>
      <c r="B519" s="116"/>
      <c r="C519" s="95"/>
      <c r="D519" s="567"/>
      <c r="E519" s="567"/>
      <c r="F519" s="95"/>
      <c r="G519" s="146"/>
      <c r="H519" s="108"/>
      <c r="I519" s="122"/>
      <c r="J519" s="95">
        <v>318</v>
      </c>
      <c r="K519" s="1062" t="s">
        <v>2401</v>
      </c>
      <c r="L519" s="913">
        <v>1358860.162</v>
      </c>
      <c r="M519" s="913">
        <v>5079321.4423000002</v>
      </c>
      <c r="N519" s="108"/>
      <c r="O519" s="108" t="s">
        <v>2426</v>
      </c>
      <c r="P519" s="95" t="s">
        <v>193</v>
      </c>
      <c r="Q519" s="108"/>
      <c r="R519" s="108"/>
      <c r="S519" s="108"/>
      <c r="T519" s="184" t="s">
        <v>2654</v>
      </c>
      <c r="U519" s="24" t="s">
        <v>16</v>
      </c>
      <c r="V519" s="24" t="s">
        <v>16</v>
      </c>
      <c r="W519" s="24" t="s">
        <v>16</v>
      </c>
      <c r="X519" s="24" t="s">
        <v>193</v>
      </c>
      <c r="Y519" s="24" t="s">
        <v>2455</v>
      </c>
      <c r="Z519" s="46" t="s">
        <v>1253</v>
      </c>
      <c r="AA519" s="24">
        <v>1</v>
      </c>
      <c r="AB519" s="24" t="s">
        <v>2464</v>
      </c>
      <c r="AC519" s="24">
        <v>110.8</v>
      </c>
      <c r="AD519" s="24">
        <f>110.8-11.5</f>
        <v>99.3</v>
      </c>
      <c r="AE519" s="24">
        <f>110.8+11.5</f>
        <v>122.3</v>
      </c>
      <c r="AF519" s="24"/>
      <c r="AG519" s="351"/>
      <c r="AH519" s="351"/>
      <c r="AI519" s="45" t="s">
        <v>2469</v>
      </c>
      <c r="AJ519" s="103"/>
      <c r="AK519" s="103"/>
      <c r="AL519" s="351"/>
      <c r="AM519" s="351"/>
      <c r="AN519" s="46" t="s">
        <v>2470</v>
      </c>
      <c r="AO519" s="46" t="s">
        <v>2478</v>
      </c>
      <c r="AP519" s="46" t="s">
        <v>2405</v>
      </c>
      <c r="AQ519" s="46" t="s">
        <v>37</v>
      </c>
      <c r="AR519" s="47">
        <v>44125</v>
      </c>
      <c r="AS519" s="46" t="s">
        <v>37</v>
      </c>
      <c r="AT519" s="365"/>
      <c r="AU519" s="1107"/>
    </row>
    <row r="520" spans="1:47" ht="51.75" x14ac:dyDescent="0.25">
      <c r="A520" s="339"/>
      <c r="B520" s="116"/>
      <c r="C520" s="95"/>
      <c r="D520" s="567"/>
      <c r="E520" s="567"/>
      <c r="F520" s="95"/>
      <c r="G520" s="146"/>
      <c r="H520" s="108"/>
      <c r="I520" s="122"/>
      <c r="J520" s="95">
        <v>319</v>
      </c>
      <c r="K520" s="1062" t="s">
        <v>2402</v>
      </c>
      <c r="L520" s="913">
        <v>1358859.2164</v>
      </c>
      <c r="M520" s="913">
        <v>5079346.9903999995</v>
      </c>
      <c r="N520" s="108"/>
      <c r="O520" s="108" t="s">
        <v>2415</v>
      </c>
      <c r="P520" s="95" t="s">
        <v>193</v>
      </c>
      <c r="Q520" s="108"/>
      <c r="R520" s="108"/>
      <c r="S520" s="108"/>
      <c r="T520" s="184" t="s">
        <v>2642</v>
      </c>
      <c r="U520" s="24" t="s">
        <v>16</v>
      </c>
      <c r="V520" s="24" t="s">
        <v>16</v>
      </c>
      <c r="W520" s="24" t="s">
        <v>16</v>
      </c>
      <c r="X520" s="24" t="s">
        <v>193</v>
      </c>
      <c r="Y520" s="24" t="s">
        <v>2456</v>
      </c>
      <c r="Z520" s="46" t="s">
        <v>1253</v>
      </c>
      <c r="AA520" s="24">
        <v>1</v>
      </c>
      <c r="AB520" s="24" t="s">
        <v>2464</v>
      </c>
      <c r="AC520" s="24">
        <v>110.8</v>
      </c>
      <c r="AD520" s="24">
        <f>110.8-11.5</f>
        <v>99.3</v>
      </c>
      <c r="AE520" s="24">
        <f>110.8+11.5</f>
        <v>122.3</v>
      </c>
      <c r="AF520" s="24"/>
      <c r="AG520" s="351"/>
      <c r="AH520" s="351"/>
      <c r="AI520" s="45" t="s">
        <v>2469</v>
      </c>
      <c r="AJ520" s="103"/>
      <c r="AK520" s="103"/>
      <c r="AL520" s="351"/>
      <c r="AM520" s="351"/>
      <c r="AN520" s="46" t="s">
        <v>2470</v>
      </c>
      <c r="AO520" s="46" t="s">
        <v>2478</v>
      </c>
      <c r="AP520" s="46" t="s">
        <v>2405</v>
      </c>
      <c r="AQ520" s="46" t="s">
        <v>37</v>
      </c>
      <c r="AR520" s="47">
        <v>44125</v>
      </c>
      <c r="AS520" s="46" t="s">
        <v>37</v>
      </c>
      <c r="AT520" s="365"/>
      <c r="AU520" s="1107"/>
    </row>
    <row r="521" spans="1:47" ht="51.75" x14ac:dyDescent="0.25">
      <c r="A521" s="339"/>
      <c r="B521" s="116"/>
      <c r="C521" s="95"/>
      <c r="D521" s="567"/>
      <c r="E521" s="567"/>
      <c r="F521" s="95"/>
      <c r="G521" s="146"/>
      <c r="H521" s="108"/>
      <c r="I521" s="122"/>
      <c r="J521" s="95">
        <v>320</v>
      </c>
      <c r="K521" s="1062" t="s">
        <v>2399</v>
      </c>
      <c r="L521" s="913">
        <v>1358763.8465</v>
      </c>
      <c r="M521" s="913">
        <v>5079144.3559999997</v>
      </c>
      <c r="N521" s="108"/>
      <c r="O521" s="108" t="s">
        <v>2427</v>
      </c>
      <c r="P521" s="95" t="s">
        <v>193</v>
      </c>
      <c r="Q521" s="108"/>
      <c r="R521" s="108"/>
      <c r="S521" s="108"/>
      <c r="T521" s="184" t="s">
        <v>2655</v>
      </c>
      <c r="U521" s="24" t="s">
        <v>16</v>
      </c>
      <c r="V521" s="24" t="s">
        <v>85</v>
      </c>
      <c r="W521" s="24" t="s">
        <v>85</v>
      </c>
      <c r="X521" s="24" t="s">
        <v>193</v>
      </c>
      <c r="Y521" s="24" t="s">
        <v>2457</v>
      </c>
      <c r="Z521" s="46" t="s">
        <v>1253</v>
      </c>
      <c r="AA521" s="24">
        <v>1</v>
      </c>
      <c r="AB521" s="24" t="s">
        <v>2466</v>
      </c>
      <c r="AC521" s="24">
        <f>AD521+(AE521-AD521)/2</f>
        <v>160.5</v>
      </c>
      <c r="AD521" s="24">
        <v>130</v>
      </c>
      <c r="AE521" s="24">
        <v>191</v>
      </c>
      <c r="AF521" s="24"/>
      <c r="AG521" s="351"/>
      <c r="AH521" s="351"/>
      <c r="AI521" s="45" t="s">
        <v>256</v>
      </c>
      <c r="AJ521" s="103"/>
      <c r="AK521" s="103"/>
      <c r="AL521" s="351"/>
      <c r="AM521" s="351"/>
      <c r="AN521" s="46" t="s">
        <v>2470</v>
      </c>
      <c r="AO521" s="46" t="s">
        <v>2479</v>
      </c>
      <c r="AP521" s="46" t="s">
        <v>2405</v>
      </c>
      <c r="AQ521" s="46" t="s">
        <v>37</v>
      </c>
      <c r="AR521" s="47">
        <v>44125</v>
      </c>
      <c r="AS521" s="46" t="s">
        <v>37</v>
      </c>
      <c r="AT521" s="365"/>
      <c r="AU521" s="1107"/>
    </row>
    <row r="522" spans="1:47" ht="51.75" x14ac:dyDescent="0.25">
      <c r="A522" s="339"/>
      <c r="B522" s="116"/>
      <c r="C522" s="95"/>
      <c r="D522" s="567"/>
      <c r="E522" s="567"/>
      <c r="F522" s="95"/>
      <c r="G522" s="146"/>
      <c r="H522" s="108"/>
      <c r="I522" s="122"/>
      <c r="J522" s="95">
        <v>321</v>
      </c>
      <c r="K522" s="1062" t="s">
        <v>2400</v>
      </c>
      <c r="L522" s="913">
        <v>1359789.1808</v>
      </c>
      <c r="M522" s="913">
        <v>5078759.5668000001</v>
      </c>
      <c r="N522" s="108"/>
      <c r="O522" s="108" t="s">
        <v>2428</v>
      </c>
      <c r="P522" s="95" t="s">
        <v>193</v>
      </c>
      <c r="Q522" s="108"/>
      <c r="R522" s="108"/>
      <c r="S522" s="108"/>
      <c r="T522" s="184" t="s">
        <v>2656</v>
      </c>
      <c r="U522" s="24" t="s">
        <v>16</v>
      </c>
      <c r="V522" s="24" t="s">
        <v>85</v>
      </c>
      <c r="W522" s="24" t="s">
        <v>85</v>
      </c>
      <c r="X522" s="24" t="s">
        <v>193</v>
      </c>
      <c r="Y522" s="24" t="s">
        <v>2454</v>
      </c>
      <c r="Z522" s="46" t="s">
        <v>1253</v>
      </c>
      <c r="AA522" s="24">
        <v>1</v>
      </c>
      <c r="AB522" s="24" t="s">
        <v>2466</v>
      </c>
      <c r="AC522" s="24">
        <f>AD522+(AE522-AD522)/2</f>
        <v>160.5</v>
      </c>
      <c r="AD522" s="24">
        <v>130</v>
      </c>
      <c r="AE522" s="24">
        <v>191</v>
      </c>
      <c r="AF522" s="24"/>
      <c r="AG522" s="351"/>
      <c r="AH522" s="351"/>
      <c r="AI522" s="45" t="s">
        <v>256</v>
      </c>
      <c r="AJ522" s="103"/>
      <c r="AK522" s="103"/>
      <c r="AL522" s="351"/>
      <c r="AM522" s="351"/>
      <c r="AN522" s="46" t="s">
        <v>2470</v>
      </c>
      <c r="AO522" s="46" t="s">
        <v>2479</v>
      </c>
      <c r="AP522" s="46" t="s">
        <v>2405</v>
      </c>
      <c r="AQ522" s="46" t="s">
        <v>37</v>
      </c>
      <c r="AR522" s="47">
        <v>44125</v>
      </c>
      <c r="AS522" s="46" t="s">
        <v>37</v>
      </c>
      <c r="AT522" s="365"/>
      <c r="AU522" s="1107"/>
    </row>
    <row r="523" spans="1:47" ht="51.75" x14ac:dyDescent="0.25">
      <c r="A523" s="339"/>
      <c r="B523" s="116"/>
      <c r="C523" s="95"/>
      <c r="D523" s="567"/>
      <c r="E523" s="567"/>
      <c r="F523" s="95"/>
      <c r="G523" s="146"/>
      <c r="H523" s="108"/>
      <c r="I523" s="122"/>
      <c r="J523" s="95">
        <v>322</v>
      </c>
      <c r="K523" s="1062" t="s">
        <v>2401</v>
      </c>
      <c r="L523" s="913">
        <v>1358860.162</v>
      </c>
      <c r="M523" s="913">
        <v>5079321.4423000002</v>
      </c>
      <c r="N523" s="108"/>
      <c r="O523" s="108" t="s">
        <v>2425</v>
      </c>
      <c r="P523" s="95" t="s">
        <v>193</v>
      </c>
      <c r="Q523" s="108"/>
      <c r="R523" s="108"/>
      <c r="S523" s="108"/>
      <c r="T523" s="184" t="s">
        <v>2653</v>
      </c>
      <c r="U523" s="24" t="s">
        <v>16</v>
      </c>
      <c r="V523" s="24" t="s">
        <v>85</v>
      </c>
      <c r="W523" s="24" t="s">
        <v>85</v>
      </c>
      <c r="X523" s="24" t="s">
        <v>193</v>
      </c>
      <c r="Y523" s="24" t="s">
        <v>2455</v>
      </c>
      <c r="Z523" s="46" t="s">
        <v>1253</v>
      </c>
      <c r="AA523" s="24">
        <v>1</v>
      </c>
      <c r="AB523" s="24" t="s">
        <v>2466</v>
      </c>
      <c r="AC523" s="24">
        <f>AD523+(AE523-AD523)/2</f>
        <v>160.5</v>
      </c>
      <c r="AD523" s="24">
        <v>130</v>
      </c>
      <c r="AE523" s="24">
        <v>191</v>
      </c>
      <c r="AF523" s="24"/>
      <c r="AG523" s="351"/>
      <c r="AH523" s="351"/>
      <c r="AI523" s="45" t="s">
        <v>256</v>
      </c>
      <c r="AJ523" s="103"/>
      <c r="AK523" s="103"/>
      <c r="AL523" s="351"/>
      <c r="AM523" s="351"/>
      <c r="AN523" s="46" t="s">
        <v>2470</v>
      </c>
      <c r="AO523" s="46" t="s">
        <v>2479</v>
      </c>
      <c r="AP523" s="46" t="s">
        <v>2405</v>
      </c>
      <c r="AQ523" s="46" t="s">
        <v>37</v>
      </c>
      <c r="AR523" s="47">
        <v>44125</v>
      </c>
      <c r="AS523" s="46" t="s">
        <v>37</v>
      </c>
      <c r="AT523" s="365"/>
      <c r="AU523" s="1107"/>
    </row>
    <row r="524" spans="1:47" ht="51.75" x14ac:dyDescent="0.25">
      <c r="A524" s="339"/>
      <c r="B524" s="116"/>
      <c r="C524" s="95"/>
      <c r="D524" s="567"/>
      <c r="E524" s="567"/>
      <c r="F524" s="95"/>
      <c r="G524" s="146"/>
      <c r="H524" s="108"/>
      <c r="I524" s="122"/>
      <c r="J524" s="95">
        <v>323</v>
      </c>
      <c r="K524" s="1062" t="s">
        <v>2402</v>
      </c>
      <c r="L524" s="913">
        <v>1358859.2164</v>
      </c>
      <c r="M524" s="913">
        <v>5079346.9903999995</v>
      </c>
      <c r="N524" s="108"/>
      <c r="O524" s="108" t="s">
        <v>2429</v>
      </c>
      <c r="P524" s="95" t="s">
        <v>193</v>
      </c>
      <c r="Q524" s="108"/>
      <c r="R524" s="108"/>
      <c r="S524" s="108"/>
      <c r="T524" s="184" t="s">
        <v>2657</v>
      </c>
      <c r="U524" s="24" t="s">
        <v>16</v>
      </c>
      <c r="V524" s="24" t="s">
        <v>85</v>
      </c>
      <c r="W524" s="24" t="s">
        <v>85</v>
      </c>
      <c r="X524" s="24" t="s">
        <v>193</v>
      </c>
      <c r="Y524" s="24" t="s">
        <v>2456</v>
      </c>
      <c r="Z524" s="46" t="s">
        <v>1253</v>
      </c>
      <c r="AA524" s="24">
        <v>1</v>
      </c>
      <c r="AB524" s="24" t="s">
        <v>2466</v>
      </c>
      <c r="AC524" s="24">
        <f>AD524+(AE524-AD524)/2</f>
        <v>160.5</v>
      </c>
      <c r="AD524" s="24">
        <v>130</v>
      </c>
      <c r="AE524" s="24">
        <v>191</v>
      </c>
      <c r="AF524" s="24"/>
      <c r="AG524" s="351"/>
      <c r="AH524" s="351"/>
      <c r="AI524" s="45" t="s">
        <v>256</v>
      </c>
      <c r="AJ524" s="103"/>
      <c r="AK524" s="103"/>
      <c r="AL524" s="351"/>
      <c r="AM524" s="351"/>
      <c r="AN524" s="46" t="s">
        <v>2470</v>
      </c>
      <c r="AO524" s="46" t="s">
        <v>2479</v>
      </c>
      <c r="AP524" s="46" t="s">
        <v>2405</v>
      </c>
      <c r="AQ524" s="46" t="s">
        <v>37</v>
      </c>
      <c r="AR524" s="47">
        <v>44125</v>
      </c>
      <c r="AS524" s="46" t="s">
        <v>37</v>
      </c>
      <c r="AT524" s="365"/>
      <c r="AU524" s="1107"/>
    </row>
    <row r="525" spans="1:47" ht="51.75" x14ac:dyDescent="0.25">
      <c r="A525" s="339"/>
      <c r="B525" s="116"/>
      <c r="C525" s="95"/>
      <c r="D525" s="567"/>
      <c r="E525" s="567"/>
      <c r="F525" s="95"/>
      <c r="G525" s="146"/>
      <c r="H525" s="108"/>
      <c r="I525" s="122"/>
      <c r="J525" s="95">
        <v>324</v>
      </c>
      <c r="K525" s="1062" t="s">
        <v>2403</v>
      </c>
      <c r="L525" s="913">
        <v>1359789.1808</v>
      </c>
      <c r="M525" s="913">
        <v>5078759.5668000001</v>
      </c>
      <c r="N525" s="108"/>
      <c r="O525" s="108" t="s">
        <v>2430</v>
      </c>
      <c r="P525" s="95" t="s">
        <v>193</v>
      </c>
      <c r="Q525" s="108"/>
      <c r="R525" s="108"/>
      <c r="S525" s="108"/>
      <c r="T525" s="184" t="s">
        <v>2658</v>
      </c>
      <c r="U525" s="24" t="s">
        <v>16</v>
      </c>
      <c r="V525" s="24" t="s">
        <v>16</v>
      </c>
      <c r="W525" s="24" t="s">
        <v>16</v>
      </c>
      <c r="X525" s="24" t="s">
        <v>193</v>
      </c>
      <c r="Y525" s="24" t="s">
        <v>2458</v>
      </c>
      <c r="Z525" s="46" t="s">
        <v>1253</v>
      </c>
      <c r="AA525" s="24">
        <v>1</v>
      </c>
      <c r="AB525" s="24" t="s">
        <v>2467</v>
      </c>
      <c r="AC525" s="24">
        <v>110.8</v>
      </c>
      <c r="AD525" s="24">
        <f>110.8-11.5</f>
        <v>99.3</v>
      </c>
      <c r="AE525" s="24">
        <f>110.8+11.5</f>
        <v>122.3</v>
      </c>
      <c r="AF525" s="24"/>
      <c r="AG525" s="351"/>
      <c r="AH525" s="351"/>
      <c r="AI525" s="45" t="s">
        <v>2469</v>
      </c>
      <c r="AJ525" s="103"/>
      <c r="AK525" s="103"/>
      <c r="AL525" s="351"/>
      <c r="AM525" s="351"/>
      <c r="AN525" s="46" t="s">
        <v>2470</v>
      </c>
      <c r="AO525" s="46" t="s">
        <v>2477</v>
      </c>
      <c r="AP525" s="46" t="s">
        <v>2405</v>
      </c>
      <c r="AQ525" s="46" t="s">
        <v>37</v>
      </c>
      <c r="AR525" s="47">
        <v>44125</v>
      </c>
      <c r="AS525" s="46" t="s">
        <v>37</v>
      </c>
      <c r="AT525" s="365"/>
      <c r="AU525" s="1107"/>
    </row>
    <row r="526" spans="1:47" ht="51.75" x14ac:dyDescent="0.25">
      <c r="A526" s="339"/>
      <c r="B526" s="116"/>
      <c r="C526" s="95"/>
      <c r="D526" s="567"/>
      <c r="E526" s="567"/>
      <c r="F526" s="95"/>
      <c r="G526" s="146"/>
      <c r="H526" s="108"/>
      <c r="I526" s="122"/>
      <c r="J526" s="95">
        <v>325</v>
      </c>
      <c r="K526" s="1062" t="s">
        <v>2404</v>
      </c>
      <c r="L526" s="913">
        <v>1358888.4198</v>
      </c>
      <c r="M526" s="913">
        <v>5078751.8720000004</v>
      </c>
      <c r="N526" s="108"/>
      <c r="O526" s="108" t="s">
        <v>2431</v>
      </c>
      <c r="P526" s="95" t="s">
        <v>193</v>
      </c>
      <c r="Q526" s="108"/>
      <c r="R526" s="108"/>
      <c r="S526" s="108"/>
      <c r="T526" s="184" t="s">
        <v>2659</v>
      </c>
      <c r="U526" s="24" t="s">
        <v>16</v>
      </c>
      <c r="V526" s="24" t="s">
        <v>16</v>
      </c>
      <c r="W526" s="24" t="s">
        <v>16</v>
      </c>
      <c r="X526" s="24" t="s">
        <v>193</v>
      </c>
      <c r="Y526" s="24" t="s">
        <v>2459</v>
      </c>
      <c r="Z526" s="46" t="s">
        <v>1253</v>
      </c>
      <c r="AA526" s="24">
        <v>1</v>
      </c>
      <c r="AB526" s="24" t="s">
        <v>2467</v>
      </c>
      <c r="AC526" s="24">
        <v>110.8</v>
      </c>
      <c r="AD526" s="24">
        <f>110.8-11.5</f>
        <v>99.3</v>
      </c>
      <c r="AE526" s="24">
        <f>110.8+11.5</f>
        <v>122.3</v>
      </c>
      <c r="AF526" s="24"/>
      <c r="AG526" s="351"/>
      <c r="AH526" s="351"/>
      <c r="AI526" s="45" t="s">
        <v>2469</v>
      </c>
      <c r="AJ526" s="103"/>
      <c r="AK526" s="103"/>
      <c r="AL526" s="351"/>
      <c r="AM526" s="351"/>
      <c r="AN526" s="46" t="s">
        <v>2470</v>
      </c>
      <c r="AO526" s="46" t="s">
        <v>2477</v>
      </c>
      <c r="AP526" s="46" t="s">
        <v>2405</v>
      </c>
      <c r="AQ526" s="46" t="s">
        <v>37</v>
      </c>
      <c r="AR526" s="47">
        <v>44125</v>
      </c>
      <c r="AS526" s="46" t="s">
        <v>37</v>
      </c>
      <c r="AT526" s="365"/>
      <c r="AU526" s="1107"/>
    </row>
    <row r="527" spans="1:47" ht="51.75" x14ac:dyDescent="0.25">
      <c r="A527" s="339"/>
      <c r="B527" s="116"/>
      <c r="C527" s="95"/>
      <c r="D527" s="567"/>
      <c r="E527" s="567"/>
      <c r="F527" s="95"/>
      <c r="G527" s="146"/>
      <c r="H527" s="108"/>
      <c r="I527" s="122"/>
      <c r="J527" s="95">
        <v>326</v>
      </c>
      <c r="K527" s="1062" t="s">
        <v>2403</v>
      </c>
      <c r="L527" s="913">
        <v>1359789.1808</v>
      </c>
      <c r="M527" s="913">
        <v>5078759.5668000001</v>
      </c>
      <c r="N527" s="108"/>
      <c r="O527" s="108" t="s">
        <v>2432</v>
      </c>
      <c r="P527" s="95" t="s">
        <v>193</v>
      </c>
      <c r="Q527" s="108"/>
      <c r="R527" s="108"/>
      <c r="S527" s="108"/>
      <c r="T527" s="184" t="s">
        <v>2660</v>
      </c>
      <c r="U527" s="24" t="s">
        <v>16</v>
      </c>
      <c r="V527" s="24" t="s">
        <v>85</v>
      </c>
      <c r="W527" s="24" t="s">
        <v>85</v>
      </c>
      <c r="X527" s="24" t="s">
        <v>193</v>
      </c>
      <c r="Y527" s="24" t="s">
        <v>2458</v>
      </c>
      <c r="Z527" s="46" t="s">
        <v>1253</v>
      </c>
      <c r="AA527" s="24">
        <v>1</v>
      </c>
      <c r="AB527" s="24" t="s">
        <v>2466</v>
      </c>
      <c r="AC527" s="24">
        <f>AD527+(AE527-AD527)/2</f>
        <v>160.5</v>
      </c>
      <c r="AD527" s="24">
        <v>130</v>
      </c>
      <c r="AE527" s="24">
        <v>191</v>
      </c>
      <c r="AF527" s="24"/>
      <c r="AG527" s="351"/>
      <c r="AH527" s="351"/>
      <c r="AI527" s="45" t="s">
        <v>256</v>
      </c>
      <c r="AJ527" s="103"/>
      <c r="AK527" s="103"/>
      <c r="AL527" s="351"/>
      <c r="AM527" s="351"/>
      <c r="AN527" s="46" t="s">
        <v>2470</v>
      </c>
      <c r="AO527" s="46" t="s">
        <v>2479</v>
      </c>
      <c r="AP527" s="46" t="s">
        <v>2405</v>
      </c>
      <c r="AQ527" s="46" t="s">
        <v>37</v>
      </c>
      <c r="AR527" s="47">
        <v>44125</v>
      </c>
      <c r="AS527" s="46" t="s">
        <v>37</v>
      </c>
      <c r="AT527" s="365"/>
      <c r="AU527" s="1107"/>
    </row>
    <row r="528" spans="1:47" ht="51.75" x14ac:dyDescent="0.25">
      <c r="A528" s="339"/>
      <c r="B528" s="116"/>
      <c r="C528" s="95"/>
      <c r="D528" s="567"/>
      <c r="E528" s="567"/>
      <c r="F528" s="95"/>
      <c r="G528" s="146"/>
      <c r="H528" s="108"/>
      <c r="I528" s="122"/>
      <c r="J528" s="95">
        <v>327</v>
      </c>
      <c r="K528" s="1062" t="s">
        <v>2404</v>
      </c>
      <c r="L528" s="913">
        <v>1358888.4198</v>
      </c>
      <c r="M528" s="913">
        <v>5078751.8720000004</v>
      </c>
      <c r="N528" s="108"/>
      <c r="O528" s="108" t="s">
        <v>2433</v>
      </c>
      <c r="P528" s="95" t="s">
        <v>193</v>
      </c>
      <c r="Q528" s="108"/>
      <c r="R528" s="108"/>
      <c r="S528" s="108"/>
      <c r="T528" s="184" t="s">
        <v>2661</v>
      </c>
      <c r="U528" s="24" t="s">
        <v>16</v>
      </c>
      <c r="V528" s="24" t="s">
        <v>85</v>
      </c>
      <c r="W528" s="24" t="s">
        <v>85</v>
      </c>
      <c r="X528" s="24" t="s">
        <v>193</v>
      </c>
      <c r="Y528" s="24" t="s">
        <v>2460</v>
      </c>
      <c r="Z528" s="46" t="s">
        <v>1253</v>
      </c>
      <c r="AA528" s="24">
        <v>1</v>
      </c>
      <c r="AB528" s="24" t="s">
        <v>2466</v>
      </c>
      <c r="AC528" s="24">
        <f>AD528+(AE528-AD528)/2</f>
        <v>160.5</v>
      </c>
      <c r="AD528" s="24">
        <v>130</v>
      </c>
      <c r="AE528" s="24">
        <v>191</v>
      </c>
      <c r="AF528" s="24"/>
      <c r="AG528" s="351"/>
      <c r="AH528" s="351"/>
      <c r="AI528" s="45" t="s">
        <v>256</v>
      </c>
      <c r="AJ528" s="103"/>
      <c r="AK528" s="103"/>
      <c r="AL528" s="351"/>
      <c r="AM528" s="351"/>
      <c r="AN528" s="46" t="s">
        <v>2470</v>
      </c>
      <c r="AO528" s="46" t="s">
        <v>2479</v>
      </c>
      <c r="AP528" s="46" t="s">
        <v>2405</v>
      </c>
      <c r="AQ528" s="46" t="s">
        <v>37</v>
      </c>
      <c r="AR528" s="47">
        <v>44125</v>
      </c>
      <c r="AS528" s="46" t="s">
        <v>37</v>
      </c>
      <c r="AT528" s="365"/>
      <c r="AU528" s="1107"/>
    </row>
    <row r="529" spans="1:47" ht="66.75" x14ac:dyDescent="0.25">
      <c r="A529" s="339"/>
      <c r="B529" s="116"/>
      <c r="C529" s="95"/>
      <c r="D529" s="567"/>
      <c r="E529" s="567"/>
      <c r="F529" s="95"/>
      <c r="G529" s="146"/>
      <c r="H529" s="108"/>
      <c r="I529" s="122"/>
      <c r="J529" s="95">
        <v>422</v>
      </c>
      <c r="K529" s="1062" t="s">
        <v>2369</v>
      </c>
      <c r="L529" s="913">
        <v>1364600.5974000001</v>
      </c>
      <c r="M529" s="913">
        <v>5096165.7303999998</v>
      </c>
      <c r="N529" s="108"/>
      <c r="O529" s="108" t="s">
        <v>2569</v>
      </c>
      <c r="P529" s="95" t="s">
        <v>193</v>
      </c>
      <c r="Q529" s="108"/>
      <c r="R529" s="108"/>
      <c r="S529" s="108"/>
      <c r="T529" s="184" t="s">
        <v>2690</v>
      </c>
      <c r="U529" s="24" t="s">
        <v>10</v>
      </c>
      <c r="V529" s="24" t="s">
        <v>10</v>
      </c>
      <c r="W529" s="24" t="s">
        <v>10</v>
      </c>
      <c r="X529" s="24" t="s">
        <v>193</v>
      </c>
      <c r="Y529" s="24" t="s">
        <v>2616</v>
      </c>
      <c r="Z529" s="46" t="s">
        <v>1253</v>
      </c>
      <c r="AA529" s="24">
        <v>1</v>
      </c>
      <c r="AB529" s="24" t="s">
        <v>2461</v>
      </c>
      <c r="AC529" s="24">
        <v>15.2</v>
      </c>
      <c r="AD529" s="24">
        <f t="shared" ref="AD529:AD540" si="16">15.2-2.4</f>
        <v>12.799999999999999</v>
      </c>
      <c r="AE529" s="24">
        <f t="shared" ref="AE529:AE540" si="17">15.2+2.4</f>
        <v>17.599999999999998</v>
      </c>
      <c r="AF529" s="24"/>
      <c r="AG529" s="351"/>
      <c r="AH529" s="351"/>
      <c r="AI529" s="403" t="s">
        <v>23</v>
      </c>
      <c r="AJ529" s="103"/>
      <c r="AK529" s="103"/>
      <c r="AL529" s="351"/>
      <c r="AM529" s="351"/>
      <c r="AN529" s="46" t="s">
        <v>2563</v>
      </c>
      <c r="AO529" s="46" t="s">
        <v>2476</v>
      </c>
      <c r="AP529" s="46" t="s">
        <v>2405</v>
      </c>
      <c r="AQ529" s="46" t="s">
        <v>37</v>
      </c>
      <c r="AR529" s="47">
        <v>44125</v>
      </c>
      <c r="AS529" s="46" t="s">
        <v>37</v>
      </c>
      <c r="AT529" s="365"/>
      <c r="AU529" s="1107"/>
    </row>
    <row r="530" spans="1:47" ht="66.75" x14ac:dyDescent="0.25">
      <c r="A530" s="339"/>
      <c r="B530" s="116"/>
      <c r="C530" s="95"/>
      <c r="D530" s="567"/>
      <c r="E530" s="567"/>
      <c r="F530" s="95"/>
      <c r="G530" s="146"/>
      <c r="H530" s="108"/>
      <c r="I530" s="122"/>
      <c r="J530" s="95">
        <v>423</v>
      </c>
      <c r="K530" s="1062" t="s">
        <v>2370</v>
      </c>
      <c r="L530" s="913">
        <v>1363957.9480000001</v>
      </c>
      <c r="M530" s="913">
        <v>5096318.3309000004</v>
      </c>
      <c r="N530" s="108"/>
      <c r="O530" s="108" t="s">
        <v>2570</v>
      </c>
      <c r="P530" s="95" t="s">
        <v>193</v>
      </c>
      <c r="Q530" s="108"/>
      <c r="R530" s="108"/>
      <c r="S530" s="108"/>
      <c r="T530" s="184" t="s">
        <v>2691</v>
      </c>
      <c r="U530" s="24" t="s">
        <v>10</v>
      </c>
      <c r="V530" s="24" t="s">
        <v>10</v>
      </c>
      <c r="W530" s="24" t="s">
        <v>10</v>
      </c>
      <c r="X530" s="24" t="s">
        <v>193</v>
      </c>
      <c r="Y530" s="24" t="s">
        <v>2617</v>
      </c>
      <c r="Z530" s="46" t="s">
        <v>1253</v>
      </c>
      <c r="AA530" s="24">
        <v>1</v>
      </c>
      <c r="AB530" s="24" t="s">
        <v>2461</v>
      </c>
      <c r="AC530" s="24">
        <v>15.2</v>
      </c>
      <c r="AD530" s="24">
        <f t="shared" si="16"/>
        <v>12.799999999999999</v>
      </c>
      <c r="AE530" s="24">
        <f t="shared" si="17"/>
        <v>17.599999999999998</v>
      </c>
      <c r="AF530" s="24"/>
      <c r="AG530" s="351"/>
      <c r="AH530" s="351"/>
      <c r="AI530" s="403" t="s">
        <v>23</v>
      </c>
      <c r="AJ530" s="103"/>
      <c r="AK530" s="103"/>
      <c r="AL530" s="351"/>
      <c r="AM530" s="351"/>
      <c r="AN530" s="46" t="s">
        <v>2563</v>
      </c>
      <c r="AO530" s="46" t="s">
        <v>2476</v>
      </c>
      <c r="AP530" s="46" t="s">
        <v>2405</v>
      </c>
      <c r="AQ530" s="46" t="s">
        <v>37</v>
      </c>
      <c r="AR530" s="47">
        <v>44125</v>
      </c>
      <c r="AS530" s="46" t="s">
        <v>37</v>
      </c>
      <c r="AT530" s="365"/>
      <c r="AU530" s="1107"/>
    </row>
    <row r="531" spans="1:47" ht="66.75" x14ac:dyDescent="0.25">
      <c r="A531" s="339"/>
      <c r="B531" s="116"/>
      <c r="C531" s="95"/>
      <c r="D531" s="567"/>
      <c r="E531" s="567"/>
      <c r="F531" s="95"/>
      <c r="G531" s="146"/>
      <c r="H531" s="108"/>
      <c r="I531" s="122"/>
      <c r="J531" s="95">
        <v>424</v>
      </c>
      <c r="K531" s="1062" t="s">
        <v>2371</v>
      </c>
      <c r="L531" s="913">
        <v>1364600.5974000001</v>
      </c>
      <c r="M531" s="913">
        <v>5096165.7303999998</v>
      </c>
      <c r="N531" s="108"/>
      <c r="O531" s="108" t="s">
        <v>2571</v>
      </c>
      <c r="P531" s="95" t="s">
        <v>193</v>
      </c>
      <c r="Q531" s="108"/>
      <c r="R531" s="108"/>
      <c r="S531" s="108"/>
      <c r="T531" s="184" t="s">
        <v>2692</v>
      </c>
      <c r="U531" s="24" t="s">
        <v>10</v>
      </c>
      <c r="V531" s="24" t="s">
        <v>10</v>
      </c>
      <c r="W531" s="24" t="s">
        <v>10</v>
      </c>
      <c r="X531" s="24" t="s">
        <v>193</v>
      </c>
      <c r="Y531" s="24" t="s">
        <v>2618</v>
      </c>
      <c r="Z531" s="46" t="s">
        <v>1253</v>
      </c>
      <c r="AA531" s="24">
        <v>1</v>
      </c>
      <c r="AB531" s="24" t="s">
        <v>2461</v>
      </c>
      <c r="AC531" s="24">
        <v>15.2</v>
      </c>
      <c r="AD531" s="24">
        <f t="shared" si="16"/>
        <v>12.799999999999999</v>
      </c>
      <c r="AE531" s="24">
        <f t="shared" si="17"/>
        <v>17.599999999999998</v>
      </c>
      <c r="AF531" s="24"/>
      <c r="AG531" s="351"/>
      <c r="AH531" s="351"/>
      <c r="AI531" s="45" t="s">
        <v>256</v>
      </c>
      <c r="AJ531" s="103"/>
      <c r="AK531" s="103"/>
      <c r="AL531" s="351"/>
      <c r="AM531" s="351"/>
      <c r="AN531" s="46" t="s">
        <v>2563</v>
      </c>
      <c r="AO531" s="46" t="s">
        <v>2472</v>
      </c>
      <c r="AP531" s="46" t="s">
        <v>2405</v>
      </c>
      <c r="AQ531" s="46" t="s">
        <v>37</v>
      </c>
      <c r="AR531" s="47">
        <v>44125</v>
      </c>
      <c r="AS531" s="46" t="s">
        <v>37</v>
      </c>
      <c r="AT531" s="365"/>
      <c r="AU531" s="1107"/>
    </row>
    <row r="532" spans="1:47" ht="54" x14ac:dyDescent="0.25">
      <c r="A532" s="339"/>
      <c r="B532" s="116"/>
      <c r="C532" s="95"/>
      <c r="D532" s="567"/>
      <c r="E532" s="567"/>
      <c r="F532" s="95"/>
      <c r="G532" s="146"/>
      <c r="H532" s="108"/>
      <c r="I532" s="122"/>
      <c r="J532" s="95">
        <v>425</v>
      </c>
      <c r="K532" s="1062" t="s">
        <v>2372</v>
      </c>
      <c r="L532" s="913">
        <v>1365128.9016</v>
      </c>
      <c r="M532" s="913">
        <v>5099247.6721999999</v>
      </c>
      <c r="N532" s="108"/>
      <c r="O532" s="108" t="s">
        <v>2572</v>
      </c>
      <c r="P532" s="95" t="s">
        <v>193</v>
      </c>
      <c r="Q532" s="108"/>
      <c r="R532" s="108"/>
      <c r="S532" s="108"/>
      <c r="T532" s="184" t="s">
        <v>2693</v>
      </c>
      <c r="U532" s="24" t="s">
        <v>10</v>
      </c>
      <c r="V532" s="24" t="s">
        <v>10</v>
      </c>
      <c r="W532" s="24" t="s">
        <v>10</v>
      </c>
      <c r="X532" s="24" t="s">
        <v>193</v>
      </c>
      <c r="Y532" s="24" t="s">
        <v>2619</v>
      </c>
      <c r="Z532" s="46" t="s">
        <v>1253</v>
      </c>
      <c r="AA532" s="24">
        <v>1</v>
      </c>
      <c r="AB532" s="24" t="s">
        <v>2461</v>
      </c>
      <c r="AC532" s="24">
        <v>15.2</v>
      </c>
      <c r="AD532" s="24">
        <f t="shared" si="16"/>
        <v>12.799999999999999</v>
      </c>
      <c r="AE532" s="24">
        <f t="shared" si="17"/>
        <v>17.599999999999998</v>
      </c>
      <c r="AF532" s="24"/>
      <c r="AG532" s="351"/>
      <c r="AH532" s="351"/>
      <c r="AI532" s="45" t="s">
        <v>256</v>
      </c>
      <c r="AJ532" s="103"/>
      <c r="AK532" s="103"/>
      <c r="AL532" s="351"/>
      <c r="AM532" s="351"/>
      <c r="AN532" s="46" t="s">
        <v>2561</v>
      </c>
      <c r="AO532" s="46" t="s">
        <v>2472</v>
      </c>
      <c r="AP532" s="46" t="s">
        <v>2405</v>
      </c>
      <c r="AQ532" s="46" t="s">
        <v>37</v>
      </c>
      <c r="AR532" s="47">
        <v>44125</v>
      </c>
      <c r="AS532" s="46" t="s">
        <v>37</v>
      </c>
      <c r="AT532" s="365"/>
      <c r="AU532" s="1107"/>
    </row>
    <row r="533" spans="1:47" ht="54" x14ac:dyDescent="0.25">
      <c r="A533" s="339"/>
      <c r="B533" s="116"/>
      <c r="C533" s="95"/>
      <c r="D533" s="567"/>
      <c r="E533" s="567"/>
      <c r="F533" s="95"/>
      <c r="G533" s="146"/>
      <c r="H533" s="108"/>
      <c r="I533" s="122"/>
      <c r="J533" s="95">
        <v>426</v>
      </c>
      <c r="K533" s="1062" t="s">
        <v>2373</v>
      </c>
      <c r="L533" s="913">
        <v>1365121.8805</v>
      </c>
      <c r="M533" s="913">
        <v>5099309.7032000003</v>
      </c>
      <c r="N533" s="108"/>
      <c r="O533" s="108" t="s">
        <v>2573</v>
      </c>
      <c r="P533" s="95" t="s">
        <v>193</v>
      </c>
      <c r="Q533" s="108"/>
      <c r="R533" s="108"/>
      <c r="S533" s="108"/>
      <c r="T533" s="184" t="s">
        <v>2694</v>
      </c>
      <c r="U533" s="24" t="s">
        <v>10</v>
      </c>
      <c r="V533" s="24" t="s">
        <v>10</v>
      </c>
      <c r="W533" s="24" t="s">
        <v>10</v>
      </c>
      <c r="X533" s="24" t="s">
        <v>193</v>
      </c>
      <c r="Y533" s="24" t="s">
        <v>2620</v>
      </c>
      <c r="Z533" s="46" t="s">
        <v>1253</v>
      </c>
      <c r="AA533" s="24">
        <v>1</v>
      </c>
      <c r="AB533" s="24" t="s">
        <v>2461</v>
      </c>
      <c r="AC533" s="24">
        <v>15.2</v>
      </c>
      <c r="AD533" s="24">
        <f t="shared" si="16"/>
        <v>12.799999999999999</v>
      </c>
      <c r="AE533" s="24">
        <f t="shared" si="17"/>
        <v>17.599999999999998</v>
      </c>
      <c r="AF533" s="24"/>
      <c r="AG533" s="351"/>
      <c r="AH533" s="351"/>
      <c r="AI533" s="45" t="s">
        <v>256</v>
      </c>
      <c r="AJ533" s="103"/>
      <c r="AK533" s="103"/>
      <c r="AL533" s="351"/>
      <c r="AM533" s="351"/>
      <c r="AN533" s="46" t="s">
        <v>2561</v>
      </c>
      <c r="AO533" s="46" t="s">
        <v>2472</v>
      </c>
      <c r="AP533" s="46" t="s">
        <v>2405</v>
      </c>
      <c r="AQ533" s="46" t="s">
        <v>37</v>
      </c>
      <c r="AR533" s="47">
        <v>44125</v>
      </c>
      <c r="AS533" s="46" t="s">
        <v>37</v>
      </c>
      <c r="AT533" s="365"/>
      <c r="AU533" s="1107"/>
    </row>
    <row r="534" spans="1:47" ht="54" x14ac:dyDescent="0.25">
      <c r="A534" s="339"/>
      <c r="B534" s="116"/>
      <c r="C534" s="95"/>
      <c r="D534" s="567"/>
      <c r="E534" s="567"/>
      <c r="F534" s="95"/>
      <c r="G534" s="146"/>
      <c r="H534" s="108"/>
      <c r="I534" s="122"/>
      <c r="J534" s="95">
        <v>427</v>
      </c>
      <c r="K534" s="1062" t="s">
        <v>2374</v>
      </c>
      <c r="L534" s="913">
        <v>1365147.6435</v>
      </c>
      <c r="M534" s="913">
        <v>5099327.3090000004</v>
      </c>
      <c r="N534" s="108"/>
      <c r="O534" s="108" t="s">
        <v>2574</v>
      </c>
      <c r="P534" s="95" t="s">
        <v>193</v>
      </c>
      <c r="Q534" s="108"/>
      <c r="R534" s="108"/>
      <c r="S534" s="108"/>
      <c r="T534" s="184" t="s">
        <v>2695</v>
      </c>
      <c r="U534" s="24" t="s">
        <v>10</v>
      </c>
      <c r="V534" s="24" t="s">
        <v>10</v>
      </c>
      <c r="W534" s="24" t="s">
        <v>10</v>
      </c>
      <c r="X534" s="24" t="s">
        <v>193</v>
      </c>
      <c r="Y534" s="24" t="s">
        <v>2621</v>
      </c>
      <c r="Z534" s="46" t="s">
        <v>1253</v>
      </c>
      <c r="AA534" s="24">
        <v>1</v>
      </c>
      <c r="AB534" s="24" t="s">
        <v>2461</v>
      </c>
      <c r="AC534" s="24">
        <v>15.2</v>
      </c>
      <c r="AD534" s="24">
        <f t="shared" si="16"/>
        <v>12.799999999999999</v>
      </c>
      <c r="AE534" s="24">
        <f t="shared" si="17"/>
        <v>17.599999999999998</v>
      </c>
      <c r="AF534" s="24"/>
      <c r="AG534" s="351"/>
      <c r="AH534" s="351"/>
      <c r="AI534" s="45" t="s">
        <v>256</v>
      </c>
      <c r="AJ534" s="103"/>
      <c r="AK534" s="103"/>
      <c r="AL534" s="351"/>
      <c r="AM534" s="351"/>
      <c r="AN534" s="46" t="s">
        <v>2561</v>
      </c>
      <c r="AO534" s="46" t="s">
        <v>2472</v>
      </c>
      <c r="AP534" s="46" t="s">
        <v>2405</v>
      </c>
      <c r="AQ534" s="46" t="s">
        <v>37</v>
      </c>
      <c r="AR534" s="47">
        <v>44125</v>
      </c>
      <c r="AS534" s="46" t="s">
        <v>37</v>
      </c>
      <c r="AT534" s="365"/>
      <c r="AU534" s="1107"/>
    </row>
    <row r="535" spans="1:47" ht="54" x14ac:dyDescent="0.25">
      <c r="A535" s="339"/>
      <c r="B535" s="116"/>
      <c r="C535" s="95"/>
      <c r="D535" s="567"/>
      <c r="E535" s="567"/>
      <c r="F535" s="95"/>
      <c r="G535" s="146"/>
      <c r="H535" s="108"/>
      <c r="I535" s="122"/>
      <c r="J535" s="95">
        <v>428</v>
      </c>
      <c r="K535" s="1062" t="s">
        <v>2375</v>
      </c>
      <c r="L535" s="913">
        <v>1365110.3189999999</v>
      </c>
      <c r="M535" s="913">
        <v>5099766.3981999997</v>
      </c>
      <c r="N535" s="108"/>
      <c r="O535" s="108" t="s">
        <v>2575</v>
      </c>
      <c r="P535" s="95" t="s">
        <v>193</v>
      </c>
      <c r="Q535" s="108"/>
      <c r="R535" s="108"/>
      <c r="S535" s="108"/>
      <c r="T535" s="184" t="s">
        <v>2696</v>
      </c>
      <c r="U535" s="24" t="s">
        <v>10</v>
      </c>
      <c r="V535" s="24" t="s">
        <v>10</v>
      </c>
      <c r="W535" s="24" t="s">
        <v>10</v>
      </c>
      <c r="X535" s="24" t="s">
        <v>193</v>
      </c>
      <c r="Y535" s="24" t="s">
        <v>2622</v>
      </c>
      <c r="Z535" s="46" t="s">
        <v>1253</v>
      </c>
      <c r="AA535" s="24">
        <v>1</v>
      </c>
      <c r="AB535" s="24" t="s">
        <v>2461</v>
      </c>
      <c r="AC535" s="24">
        <v>15.2</v>
      </c>
      <c r="AD535" s="24">
        <f t="shared" si="16"/>
        <v>12.799999999999999</v>
      </c>
      <c r="AE535" s="24">
        <f t="shared" si="17"/>
        <v>17.599999999999998</v>
      </c>
      <c r="AF535" s="24"/>
      <c r="AG535" s="351"/>
      <c r="AH535" s="351"/>
      <c r="AI535" s="45" t="s">
        <v>256</v>
      </c>
      <c r="AJ535" s="103"/>
      <c r="AK535" s="103"/>
      <c r="AL535" s="351"/>
      <c r="AM535" s="351"/>
      <c r="AN535" s="46" t="s">
        <v>2561</v>
      </c>
      <c r="AO535" s="46" t="s">
        <v>2472</v>
      </c>
      <c r="AP535" s="46" t="s">
        <v>2405</v>
      </c>
      <c r="AQ535" s="46" t="s">
        <v>37</v>
      </c>
      <c r="AR535" s="47">
        <v>44125</v>
      </c>
      <c r="AS535" s="46" t="s">
        <v>37</v>
      </c>
      <c r="AT535" s="365"/>
      <c r="AU535" s="1107"/>
    </row>
    <row r="536" spans="1:47" ht="54" x14ac:dyDescent="0.25">
      <c r="A536" s="339"/>
      <c r="B536" s="116"/>
      <c r="C536" s="95"/>
      <c r="D536" s="567"/>
      <c r="E536" s="567"/>
      <c r="F536" s="95"/>
      <c r="G536" s="146"/>
      <c r="H536" s="108"/>
      <c r="I536" s="122"/>
      <c r="J536" s="95">
        <v>429</v>
      </c>
      <c r="K536" s="1062" t="s">
        <v>2376</v>
      </c>
      <c r="L536" s="913">
        <v>1365104.2497</v>
      </c>
      <c r="M536" s="913">
        <v>5099779.5270999996</v>
      </c>
      <c r="N536" s="108"/>
      <c r="O536" s="108" t="s">
        <v>2576</v>
      </c>
      <c r="P536" s="95" t="s">
        <v>193</v>
      </c>
      <c r="Q536" s="108"/>
      <c r="R536" s="108"/>
      <c r="S536" s="108"/>
      <c r="T536" s="184" t="s">
        <v>2697</v>
      </c>
      <c r="U536" s="24" t="s">
        <v>10</v>
      </c>
      <c r="V536" s="24" t="s">
        <v>10</v>
      </c>
      <c r="W536" s="24" t="s">
        <v>10</v>
      </c>
      <c r="X536" s="24" t="s">
        <v>193</v>
      </c>
      <c r="Y536" s="24" t="s">
        <v>2623</v>
      </c>
      <c r="Z536" s="46" t="s">
        <v>1253</v>
      </c>
      <c r="AA536" s="24">
        <v>1</v>
      </c>
      <c r="AB536" s="24" t="s">
        <v>2461</v>
      </c>
      <c r="AC536" s="24">
        <v>15.2</v>
      </c>
      <c r="AD536" s="24">
        <f t="shared" si="16"/>
        <v>12.799999999999999</v>
      </c>
      <c r="AE536" s="24">
        <f t="shared" si="17"/>
        <v>17.599999999999998</v>
      </c>
      <c r="AF536" s="24"/>
      <c r="AG536" s="351"/>
      <c r="AH536" s="351"/>
      <c r="AI536" s="45" t="s">
        <v>256</v>
      </c>
      <c r="AJ536" s="103"/>
      <c r="AK536" s="103"/>
      <c r="AL536" s="351"/>
      <c r="AM536" s="351"/>
      <c r="AN536" s="46" t="s">
        <v>2561</v>
      </c>
      <c r="AO536" s="46" t="s">
        <v>2472</v>
      </c>
      <c r="AP536" s="46" t="s">
        <v>2405</v>
      </c>
      <c r="AQ536" s="46" t="s">
        <v>37</v>
      </c>
      <c r="AR536" s="47">
        <v>44125</v>
      </c>
      <c r="AS536" s="46" t="s">
        <v>37</v>
      </c>
      <c r="AT536" s="365"/>
      <c r="AU536" s="1107"/>
    </row>
    <row r="537" spans="1:47" ht="54" x14ac:dyDescent="0.25">
      <c r="A537" s="339"/>
      <c r="B537" s="116"/>
      <c r="C537" s="95"/>
      <c r="D537" s="567"/>
      <c r="E537" s="567"/>
      <c r="F537" s="95"/>
      <c r="G537" s="146"/>
      <c r="H537" s="108"/>
      <c r="I537" s="122"/>
      <c r="J537" s="95">
        <v>430</v>
      </c>
      <c r="K537" s="1062" t="s">
        <v>2377</v>
      </c>
      <c r="L537" s="913">
        <v>1364955.2853999999</v>
      </c>
      <c r="M537" s="913">
        <v>5100275.7862</v>
      </c>
      <c r="N537" s="108"/>
      <c r="O537" s="108" t="s">
        <v>2577</v>
      </c>
      <c r="P537" s="95" t="s">
        <v>193</v>
      </c>
      <c r="Q537" s="108"/>
      <c r="R537" s="108"/>
      <c r="S537" s="108"/>
      <c r="T537" s="184" t="s">
        <v>2698</v>
      </c>
      <c r="U537" s="24" t="s">
        <v>10</v>
      </c>
      <c r="V537" s="24" t="s">
        <v>10</v>
      </c>
      <c r="W537" s="24" t="s">
        <v>10</v>
      </c>
      <c r="X537" s="24" t="s">
        <v>193</v>
      </c>
      <c r="Y537" s="24" t="s">
        <v>2624</v>
      </c>
      <c r="Z537" s="46" t="s">
        <v>1253</v>
      </c>
      <c r="AA537" s="24">
        <v>1</v>
      </c>
      <c r="AB537" s="24" t="s">
        <v>2461</v>
      </c>
      <c r="AC537" s="24">
        <v>15.2</v>
      </c>
      <c r="AD537" s="24">
        <f t="shared" si="16"/>
        <v>12.799999999999999</v>
      </c>
      <c r="AE537" s="24">
        <f t="shared" si="17"/>
        <v>17.599999999999998</v>
      </c>
      <c r="AF537" s="24"/>
      <c r="AG537" s="351"/>
      <c r="AH537" s="351"/>
      <c r="AI537" s="45" t="s">
        <v>256</v>
      </c>
      <c r="AJ537" s="103"/>
      <c r="AK537" s="103"/>
      <c r="AL537" s="351"/>
      <c r="AM537" s="351"/>
      <c r="AN537" s="46" t="s">
        <v>2561</v>
      </c>
      <c r="AO537" s="46" t="s">
        <v>2472</v>
      </c>
      <c r="AP537" s="46" t="s">
        <v>2405</v>
      </c>
      <c r="AQ537" s="46" t="s">
        <v>37</v>
      </c>
      <c r="AR537" s="47">
        <v>44125</v>
      </c>
      <c r="AS537" s="46" t="s">
        <v>37</v>
      </c>
      <c r="AT537" s="365"/>
      <c r="AU537" s="1107"/>
    </row>
    <row r="538" spans="1:47" ht="54" x14ac:dyDescent="0.25">
      <c r="A538" s="339"/>
      <c r="B538" s="116"/>
      <c r="C538" s="95"/>
      <c r="D538" s="567"/>
      <c r="E538" s="567"/>
      <c r="F538" s="95"/>
      <c r="G538" s="146"/>
      <c r="H538" s="108"/>
      <c r="I538" s="122"/>
      <c r="J538" s="95">
        <v>431</v>
      </c>
      <c r="K538" s="1062" t="s">
        <v>2378</v>
      </c>
      <c r="L538" s="913">
        <v>1364936.64</v>
      </c>
      <c r="M538" s="913">
        <v>5100349.6344999997</v>
      </c>
      <c r="N538" s="108"/>
      <c r="O538" s="108" t="s">
        <v>2578</v>
      </c>
      <c r="P538" s="95" t="s">
        <v>193</v>
      </c>
      <c r="Q538" s="108"/>
      <c r="R538" s="108"/>
      <c r="S538" s="108"/>
      <c r="T538" s="184" t="s">
        <v>2699</v>
      </c>
      <c r="U538" s="24" t="s">
        <v>10</v>
      </c>
      <c r="V538" s="24" t="s">
        <v>10</v>
      </c>
      <c r="W538" s="24" t="s">
        <v>10</v>
      </c>
      <c r="X538" s="24" t="s">
        <v>193</v>
      </c>
      <c r="Y538" s="24" t="s">
        <v>2625</v>
      </c>
      <c r="Z538" s="46" t="s">
        <v>1253</v>
      </c>
      <c r="AA538" s="24">
        <v>1</v>
      </c>
      <c r="AB538" s="24" t="s">
        <v>2461</v>
      </c>
      <c r="AC538" s="24">
        <v>15.2</v>
      </c>
      <c r="AD538" s="24">
        <f t="shared" si="16"/>
        <v>12.799999999999999</v>
      </c>
      <c r="AE538" s="24">
        <f t="shared" si="17"/>
        <v>17.599999999999998</v>
      </c>
      <c r="AF538" s="24"/>
      <c r="AG538" s="351"/>
      <c r="AH538" s="351"/>
      <c r="AI538" s="45" t="s">
        <v>256</v>
      </c>
      <c r="AJ538" s="103"/>
      <c r="AK538" s="103"/>
      <c r="AL538" s="351"/>
      <c r="AM538" s="351"/>
      <c r="AN538" s="46" t="s">
        <v>2561</v>
      </c>
      <c r="AO538" s="46" t="s">
        <v>2472</v>
      </c>
      <c r="AP538" s="46" t="s">
        <v>2405</v>
      </c>
      <c r="AQ538" s="46" t="s">
        <v>37</v>
      </c>
      <c r="AR538" s="47">
        <v>44125</v>
      </c>
      <c r="AS538" s="46" t="s">
        <v>37</v>
      </c>
      <c r="AT538" s="365"/>
      <c r="AU538" s="1107"/>
    </row>
    <row r="539" spans="1:47" ht="54" x14ac:dyDescent="0.25">
      <c r="A539" s="339"/>
      <c r="B539" s="116"/>
      <c r="C539" s="95"/>
      <c r="D539" s="567"/>
      <c r="E539" s="567"/>
      <c r="F539" s="95"/>
      <c r="G539" s="146"/>
      <c r="H539" s="108"/>
      <c r="I539" s="122"/>
      <c r="J539" s="95">
        <v>432</v>
      </c>
      <c r="K539" s="1062" t="s">
        <v>2379</v>
      </c>
      <c r="L539" s="913">
        <v>1364946.0155</v>
      </c>
      <c r="M539" s="913">
        <v>5100579.0812999997</v>
      </c>
      <c r="N539" s="108"/>
      <c r="O539" s="108" t="s">
        <v>2579</v>
      </c>
      <c r="P539" s="95" t="s">
        <v>193</v>
      </c>
      <c r="Q539" s="108"/>
      <c r="R539" s="108"/>
      <c r="S539" s="108"/>
      <c r="T539" s="184" t="s">
        <v>2700</v>
      </c>
      <c r="U539" s="24" t="s">
        <v>10</v>
      </c>
      <c r="V539" s="24" t="s">
        <v>10</v>
      </c>
      <c r="W539" s="24" t="s">
        <v>10</v>
      </c>
      <c r="X539" s="24" t="s">
        <v>193</v>
      </c>
      <c r="Y539" s="24" t="s">
        <v>2626</v>
      </c>
      <c r="Z539" s="46" t="s">
        <v>1253</v>
      </c>
      <c r="AA539" s="24">
        <v>1</v>
      </c>
      <c r="AB539" s="24" t="s">
        <v>2461</v>
      </c>
      <c r="AC539" s="24">
        <v>15.2</v>
      </c>
      <c r="AD539" s="24">
        <f t="shared" si="16"/>
        <v>12.799999999999999</v>
      </c>
      <c r="AE539" s="24">
        <f t="shared" si="17"/>
        <v>17.599999999999998</v>
      </c>
      <c r="AF539" s="24"/>
      <c r="AG539" s="351"/>
      <c r="AH539" s="351"/>
      <c r="AI539" s="45" t="s">
        <v>256</v>
      </c>
      <c r="AJ539" s="103"/>
      <c r="AK539" s="103"/>
      <c r="AL539" s="351"/>
      <c r="AM539" s="351"/>
      <c r="AN539" s="46" t="s">
        <v>2561</v>
      </c>
      <c r="AO539" s="46" t="s">
        <v>2472</v>
      </c>
      <c r="AP539" s="46" t="s">
        <v>2405</v>
      </c>
      <c r="AQ539" s="46" t="s">
        <v>37</v>
      </c>
      <c r="AR539" s="47">
        <v>44125</v>
      </c>
      <c r="AS539" s="46" t="s">
        <v>37</v>
      </c>
      <c r="AT539" s="365"/>
      <c r="AU539" s="1107"/>
    </row>
    <row r="540" spans="1:47" ht="54.75" thickBot="1" x14ac:dyDescent="0.3">
      <c r="A540" s="339"/>
      <c r="B540" s="116"/>
      <c r="C540" s="95"/>
      <c r="D540" s="567"/>
      <c r="E540" s="567"/>
      <c r="F540" s="95"/>
      <c r="G540" s="146"/>
      <c r="H540" s="108"/>
      <c r="I540" s="122"/>
      <c r="J540" s="96">
        <v>433</v>
      </c>
      <c r="K540" s="1063" t="s">
        <v>2380</v>
      </c>
      <c r="L540" s="912">
        <v>1364795.5267</v>
      </c>
      <c r="M540" s="912">
        <v>5101228.7654999997</v>
      </c>
      <c r="N540" s="107"/>
      <c r="O540" s="107" t="s">
        <v>2579</v>
      </c>
      <c r="P540" s="96" t="s">
        <v>193</v>
      </c>
      <c r="Q540" s="107"/>
      <c r="R540" s="107"/>
      <c r="S540" s="107"/>
      <c r="T540" s="127" t="s">
        <v>2700</v>
      </c>
      <c r="U540" s="24" t="s">
        <v>10</v>
      </c>
      <c r="V540" s="24" t="s">
        <v>10</v>
      </c>
      <c r="W540" s="24" t="s">
        <v>10</v>
      </c>
      <c r="X540" s="24" t="s">
        <v>193</v>
      </c>
      <c r="Y540" s="24" t="s">
        <v>2627</v>
      </c>
      <c r="Z540" s="46" t="s">
        <v>1253</v>
      </c>
      <c r="AA540" s="24">
        <v>1</v>
      </c>
      <c r="AB540" s="24" t="s">
        <v>2461</v>
      </c>
      <c r="AC540" s="24">
        <v>15.2</v>
      </c>
      <c r="AD540" s="24">
        <f t="shared" si="16"/>
        <v>12.799999999999999</v>
      </c>
      <c r="AE540" s="24">
        <f t="shared" si="17"/>
        <v>17.599999999999998</v>
      </c>
      <c r="AF540" s="24"/>
      <c r="AG540" s="351"/>
      <c r="AH540" s="351"/>
      <c r="AI540" s="45" t="s">
        <v>256</v>
      </c>
      <c r="AJ540" s="103"/>
      <c r="AK540" s="103"/>
      <c r="AL540" s="351"/>
      <c r="AM540" s="351"/>
      <c r="AN540" s="46" t="s">
        <v>2561</v>
      </c>
      <c r="AO540" s="46" t="s">
        <v>2472</v>
      </c>
      <c r="AP540" s="46" t="s">
        <v>2405</v>
      </c>
      <c r="AQ540" s="46" t="s">
        <v>37</v>
      </c>
      <c r="AR540" s="47">
        <v>44125</v>
      </c>
      <c r="AS540" s="46" t="s">
        <v>37</v>
      </c>
      <c r="AT540" s="365"/>
      <c r="AU540" s="1107"/>
    </row>
    <row r="541" spans="1:47" s="135" customFormat="1" ht="39.75" thickBot="1" x14ac:dyDescent="0.3">
      <c r="A541" s="339"/>
      <c r="B541" s="116"/>
      <c r="C541" s="95"/>
      <c r="D541" s="567"/>
      <c r="E541" s="567"/>
      <c r="F541" s="95"/>
      <c r="G541" s="146"/>
      <c r="H541" s="108"/>
      <c r="I541" s="122"/>
      <c r="J541" s="84">
        <v>235</v>
      </c>
      <c r="K541" s="396" t="s">
        <v>1282</v>
      </c>
      <c r="L541" s="265">
        <v>1357744.5175000001</v>
      </c>
      <c r="M541" s="265">
        <v>5078563.1830000002</v>
      </c>
      <c r="N541" s="109"/>
      <c r="O541" s="109" t="s">
        <v>1283</v>
      </c>
      <c r="P541" s="109" t="s">
        <v>194</v>
      </c>
      <c r="Q541" s="109"/>
      <c r="R541" s="109"/>
      <c r="S541" s="109"/>
      <c r="T541" s="343" t="s">
        <v>1284</v>
      </c>
      <c r="U541" s="206" t="s">
        <v>85</v>
      </c>
      <c r="V541" s="204" t="s">
        <v>16</v>
      </c>
      <c r="W541" s="204" t="s">
        <v>85</v>
      </c>
      <c r="X541" s="176" t="s">
        <v>194</v>
      </c>
      <c r="Y541" s="176">
        <v>100</v>
      </c>
      <c r="Z541" s="208" t="s">
        <v>1253</v>
      </c>
      <c r="AA541" s="176">
        <v>1</v>
      </c>
      <c r="AB541" s="176" t="s">
        <v>1285</v>
      </c>
      <c r="AC541" s="204">
        <v>120</v>
      </c>
      <c r="AD541" s="204"/>
      <c r="AE541" s="204"/>
      <c r="AF541" s="204"/>
      <c r="AG541" s="204"/>
      <c r="AH541" s="204"/>
      <c r="AI541" s="207" t="s">
        <v>256</v>
      </c>
      <c r="AJ541" s="205"/>
      <c r="AK541" s="205"/>
      <c r="AL541" s="353"/>
      <c r="AM541" s="353"/>
      <c r="AN541" s="94" t="s">
        <v>1279</v>
      </c>
      <c r="AO541" s="94" t="s">
        <v>1280</v>
      </c>
      <c r="AP541" s="208" t="s">
        <v>1291</v>
      </c>
      <c r="AQ541" s="208" t="s">
        <v>37</v>
      </c>
      <c r="AR541" s="209">
        <v>44095</v>
      </c>
      <c r="AS541" s="208" t="s">
        <v>37</v>
      </c>
      <c r="AT541" s="364"/>
      <c r="AU541" s="1109"/>
    </row>
    <row r="542" spans="1:47" s="135" customFormat="1" ht="39" x14ac:dyDescent="0.25">
      <c r="A542" s="339"/>
      <c r="B542" s="116"/>
      <c r="C542" s="95"/>
      <c r="D542" s="567"/>
      <c r="E542" s="567"/>
      <c r="F542" s="95"/>
      <c r="G542" s="146"/>
      <c r="H542" s="108"/>
      <c r="I542" s="122"/>
      <c r="J542" s="125">
        <v>236</v>
      </c>
      <c r="K542" s="355" t="s">
        <v>1294</v>
      </c>
      <c r="L542" s="911">
        <v>1349763.4169999999</v>
      </c>
      <c r="M542" s="911">
        <v>5066004.9943000004</v>
      </c>
      <c r="N542" s="126"/>
      <c r="O542" s="126" t="s">
        <v>1296</v>
      </c>
      <c r="P542" s="126" t="s">
        <v>194</v>
      </c>
      <c r="Q542" s="126"/>
      <c r="R542" s="126"/>
      <c r="S542" s="126"/>
      <c r="T542" s="344" t="s">
        <v>1298</v>
      </c>
      <c r="U542" s="169" t="s">
        <v>16</v>
      </c>
      <c r="V542" s="151" t="s">
        <v>85</v>
      </c>
      <c r="W542" s="151" t="s">
        <v>85</v>
      </c>
      <c r="X542" s="153" t="s">
        <v>194</v>
      </c>
      <c r="Y542" s="153">
        <v>15</v>
      </c>
      <c r="Z542" s="152" t="s">
        <v>1253</v>
      </c>
      <c r="AA542" s="153">
        <v>1</v>
      </c>
      <c r="AB542" s="153">
        <v>50</v>
      </c>
      <c r="AC542" s="151">
        <v>50</v>
      </c>
      <c r="AD542" s="151"/>
      <c r="AE542" s="151"/>
      <c r="AF542" s="151"/>
      <c r="AG542" s="151"/>
      <c r="AH542" s="151"/>
      <c r="AI542" s="203" t="s">
        <v>256</v>
      </c>
      <c r="AJ542" s="202"/>
      <c r="AK542" s="202"/>
      <c r="AL542" s="442"/>
      <c r="AM542" s="442"/>
      <c r="AN542" s="30" t="s">
        <v>1300</v>
      </c>
      <c r="AO542" s="30" t="s">
        <v>1301</v>
      </c>
      <c r="AP542" s="152" t="s">
        <v>1293</v>
      </c>
      <c r="AQ542" s="152" t="s">
        <v>37</v>
      </c>
      <c r="AR542" s="170">
        <v>44096</v>
      </c>
      <c r="AS542" s="152" t="s">
        <v>37</v>
      </c>
      <c r="AT542" s="361"/>
      <c r="AU542" s="1112"/>
    </row>
    <row r="543" spans="1:47" s="135" customFormat="1" ht="39.75" thickBot="1" x14ac:dyDescent="0.3">
      <c r="A543" s="339"/>
      <c r="B543" s="116"/>
      <c r="C543" s="95"/>
      <c r="D543" s="567"/>
      <c r="E543" s="567"/>
      <c r="F543" s="95"/>
      <c r="G543" s="146"/>
      <c r="H543" s="108"/>
      <c r="I543" s="122"/>
      <c r="J543" s="95">
        <v>237</v>
      </c>
      <c r="K543" s="359" t="s">
        <v>1295</v>
      </c>
      <c r="L543" s="913">
        <v>1350399.7641</v>
      </c>
      <c r="M543" s="913">
        <v>5067271.4315999998</v>
      </c>
      <c r="N543" s="108"/>
      <c r="O543" s="108" t="s">
        <v>1297</v>
      </c>
      <c r="P543" s="108" t="s">
        <v>194</v>
      </c>
      <c r="Q543" s="108"/>
      <c r="R543" s="108"/>
      <c r="S543" s="108"/>
      <c r="T543" s="184" t="s">
        <v>1299</v>
      </c>
      <c r="U543" s="171" t="s">
        <v>16</v>
      </c>
      <c r="V543" s="154" t="s">
        <v>85</v>
      </c>
      <c r="W543" s="154" t="s">
        <v>85</v>
      </c>
      <c r="X543" s="156" t="s">
        <v>194</v>
      </c>
      <c r="Y543" s="156">
        <v>8.5</v>
      </c>
      <c r="Z543" s="155" t="s">
        <v>1253</v>
      </c>
      <c r="AA543" s="156">
        <v>1</v>
      </c>
      <c r="AB543" s="156">
        <v>18</v>
      </c>
      <c r="AC543" s="154">
        <v>18</v>
      </c>
      <c r="AD543" s="154"/>
      <c r="AE543" s="154"/>
      <c r="AF543" s="154"/>
      <c r="AG543" s="154"/>
      <c r="AH543" s="154"/>
      <c r="AI543" s="183" t="s">
        <v>256</v>
      </c>
      <c r="AJ543" s="201"/>
      <c r="AK543" s="201"/>
      <c r="AL543" s="443"/>
      <c r="AM543" s="443"/>
      <c r="AN543" s="51" t="s">
        <v>1300</v>
      </c>
      <c r="AO543" s="51" t="s">
        <v>1302</v>
      </c>
      <c r="AP543" s="155" t="s">
        <v>1293</v>
      </c>
      <c r="AQ543" s="155" t="s">
        <v>37</v>
      </c>
      <c r="AR543" s="172">
        <v>44096</v>
      </c>
      <c r="AS543" s="155" t="s">
        <v>37</v>
      </c>
      <c r="AT543" s="362"/>
      <c r="AU543" s="1111"/>
    </row>
    <row r="544" spans="1:47" ht="54" x14ac:dyDescent="0.25">
      <c r="A544" s="339"/>
      <c r="B544" s="116"/>
      <c r="C544" s="95"/>
      <c r="D544" s="567"/>
      <c r="E544" s="567"/>
      <c r="F544" s="95"/>
      <c r="G544" s="146"/>
      <c r="H544" s="108"/>
      <c r="I544" s="122"/>
      <c r="J544" s="95">
        <v>436</v>
      </c>
      <c r="K544" s="1062" t="s">
        <v>2360</v>
      </c>
      <c r="L544" s="913">
        <v>1355088.6096999999</v>
      </c>
      <c r="M544" s="913">
        <v>5074940.4223999996</v>
      </c>
      <c r="N544" s="108"/>
      <c r="O544" s="108" t="s">
        <v>2580</v>
      </c>
      <c r="P544" s="95" t="s">
        <v>193</v>
      </c>
      <c r="Q544" s="108"/>
      <c r="R544" s="108"/>
      <c r="S544" s="108"/>
      <c r="T544" s="184" t="s">
        <v>2701</v>
      </c>
      <c r="U544" s="24" t="s">
        <v>10</v>
      </c>
      <c r="V544" s="24" t="s">
        <v>10</v>
      </c>
      <c r="W544" s="24" t="s">
        <v>10</v>
      </c>
      <c r="X544" s="24" t="s">
        <v>193</v>
      </c>
      <c r="Y544" s="24" t="s">
        <v>2628</v>
      </c>
      <c r="Z544" s="46" t="s">
        <v>2468</v>
      </c>
      <c r="AA544" s="24">
        <v>1</v>
      </c>
      <c r="AB544" s="24" t="s">
        <v>2462</v>
      </c>
      <c r="AC544" s="24">
        <v>26.5</v>
      </c>
      <c r="AD544" s="24">
        <f>26.5-4</f>
        <v>22.5</v>
      </c>
      <c r="AE544" s="24">
        <f>26.5+4</f>
        <v>30.5</v>
      </c>
      <c r="AF544" s="24"/>
      <c r="AG544" s="351"/>
      <c r="AH544" s="351"/>
      <c r="AI544" s="45" t="s">
        <v>256</v>
      </c>
      <c r="AJ544" s="103"/>
      <c r="AK544" s="103"/>
      <c r="AL544" s="351"/>
      <c r="AM544" s="351"/>
      <c r="AN544" s="46" t="s">
        <v>2561</v>
      </c>
      <c r="AO544" s="46" t="s">
        <v>2473</v>
      </c>
      <c r="AP544" s="46" t="s">
        <v>2405</v>
      </c>
      <c r="AQ544" s="46" t="s">
        <v>37</v>
      </c>
      <c r="AR544" s="47">
        <v>44125</v>
      </c>
      <c r="AS544" s="46" t="s">
        <v>37</v>
      </c>
      <c r="AT544" s="365"/>
      <c r="AU544" s="1107"/>
    </row>
    <row r="545" spans="1:47" ht="54" x14ac:dyDescent="0.25">
      <c r="A545" s="339"/>
      <c r="B545" s="116"/>
      <c r="C545" s="95"/>
      <c r="D545" s="567"/>
      <c r="E545" s="567"/>
      <c r="F545" s="95"/>
      <c r="G545" s="146"/>
      <c r="H545" s="108"/>
      <c r="I545" s="122"/>
      <c r="J545" s="95">
        <v>437</v>
      </c>
      <c r="K545" s="1062" t="s">
        <v>2381</v>
      </c>
      <c r="L545" s="913">
        <v>1354936.9243999999</v>
      </c>
      <c r="M545" s="913">
        <v>5074629.9209000003</v>
      </c>
      <c r="N545" s="108"/>
      <c r="O545" s="108" t="s">
        <v>2581</v>
      </c>
      <c r="P545" s="95" t="s">
        <v>193</v>
      </c>
      <c r="Q545" s="108"/>
      <c r="R545" s="108"/>
      <c r="S545" s="108"/>
      <c r="T545" s="184" t="s">
        <v>2702</v>
      </c>
      <c r="U545" s="24" t="s">
        <v>10</v>
      </c>
      <c r="V545" s="24" t="s">
        <v>10</v>
      </c>
      <c r="W545" s="24" t="s">
        <v>10</v>
      </c>
      <c r="X545" s="24" t="s">
        <v>193</v>
      </c>
      <c r="Y545" s="24" t="s">
        <v>2629</v>
      </c>
      <c r="Z545" s="46" t="s">
        <v>2468</v>
      </c>
      <c r="AA545" s="24">
        <v>1</v>
      </c>
      <c r="AB545" s="24" t="s">
        <v>2461</v>
      </c>
      <c r="AC545" s="24">
        <v>15.2</v>
      </c>
      <c r="AD545" s="24">
        <f>15.2-2.4</f>
        <v>12.799999999999999</v>
      </c>
      <c r="AE545" s="24">
        <f>15.2+2.4</f>
        <v>17.599999999999998</v>
      </c>
      <c r="AF545" s="24"/>
      <c r="AG545" s="351"/>
      <c r="AH545" s="351"/>
      <c r="AI545" s="45" t="s">
        <v>256</v>
      </c>
      <c r="AJ545" s="103"/>
      <c r="AK545" s="103"/>
      <c r="AL545" s="351"/>
      <c r="AM545" s="351"/>
      <c r="AN545" s="46" t="s">
        <v>2561</v>
      </c>
      <c r="AO545" s="46" t="s">
        <v>2472</v>
      </c>
      <c r="AP545" s="46" t="s">
        <v>2405</v>
      </c>
      <c r="AQ545" s="46" t="s">
        <v>37</v>
      </c>
      <c r="AR545" s="47">
        <v>44125</v>
      </c>
      <c r="AS545" s="46" t="s">
        <v>37</v>
      </c>
      <c r="AT545" s="365"/>
      <c r="AU545" s="1107"/>
    </row>
    <row r="546" spans="1:47" ht="54" x14ac:dyDescent="0.25">
      <c r="A546" s="339"/>
      <c r="B546" s="116"/>
      <c r="C546" s="95"/>
      <c r="D546" s="567"/>
      <c r="E546" s="567"/>
      <c r="F546" s="95"/>
      <c r="G546" s="146"/>
      <c r="H546" s="108"/>
      <c r="I546" s="122"/>
      <c r="J546" s="95">
        <v>438</v>
      </c>
      <c r="K546" s="1062" t="s">
        <v>2382</v>
      </c>
      <c r="L546" s="913">
        <v>1354937.6348000001</v>
      </c>
      <c r="M546" s="913">
        <v>5074589.9023000002</v>
      </c>
      <c r="N546" s="108"/>
      <c r="O546" s="108" t="s">
        <v>2482</v>
      </c>
      <c r="P546" s="95" t="s">
        <v>193</v>
      </c>
      <c r="Q546" s="108"/>
      <c r="R546" s="108"/>
      <c r="S546" s="108"/>
      <c r="T546" s="184" t="s">
        <v>2664</v>
      </c>
      <c r="U546" s="24" t="s">
        <v>10</v>
      </c>
      <c r="V546" s="24" t="s">
        <v>10</v>
      </c>
      <c r="W546" s="24" t="s">
        <v>10</v>
      </c>
      <c r="X546" s="24" t="s">
        <v>193</v>
      </c>
      <c r="Y546" s="24" t="s">
        <v>2630</v>
      </c>
      <c r="Z546" s="46" t="s">
        <v>2468</v>
      </c>
      <c r="AA546" s="24">
        <v>1</v>
      </c>
      <c r="AB546" s="24" t="s">
        <v>2461</v>
      </c>
      <c r="AC546" s="24">
        <v>15.2</v>
      </c>
      <c r="AD546" s="24">
        <f>15.2-2.4</f>
        <v>12.799999999999999</v>
      </c>
      <c r="AE546" s="24">
        <f>15.2+2.4</f>
        <v>17.599999999999998</v>
      </c>
      <c r="AF546" s="24"/>
      <c r="AG546" s="351"/>
      <c r="AH546" s="351"/>
      <c r="AI546" s="45" t="s">
        <v>256</v>
      </c>
      <c r="AJ546" s="103"/>
      <c r="AK546" s="103"/>
      <c r="AL546" s="351"/>
      <c r="AM546" s="351"/>
      <c r="AN546" s="46" t="s">
        <v>2561</v>
      </c>
      <c r="AO546" s="46" t="s">
        <v>2472</v>
      </c>
      <c r="AP546" s="46" t="s">
        <v>2405</v>
      </c>
      <c r="AQ546" s="46" t="s">
        <v>37</v>
      </c>
      <c r="AR546" s="47">
        <v>44125</v>
      </c>
      <c r="AS546" s="46" t="s">
        <v>37</v>
      </c>
      <c r="AT546" s="365"/>
      <c r="AU546" s="1107"/>
    </row>
    <row r="547" spans="1:47" ht="54" x14ac:dyDescent="0.25">
      <c r="A547" s="339"/>
      <c r="B547" s="116"/>
      <c r="C547" s="95"/>
      <c r="D547" s="567"/>
      <c r="E547" s="567"/>
      <c r="F547" s="95"/>
      <c r="G547" s="146"/>
      <c r="H547" s="108"/>
      <c r="I547" s="122"/>
      <c r="J547" s="95">
        <v>439</v>
      </c>
      <c r="K547" s="1062" t="s">
        <v>2383</v>
      </c>
      <c r="L547" s="913">
        <v>1353367.0896000001</v>
      </c>
      <c r="M547" s="913">
        <v>5071579.3629999999</v>
      </c>
      <c r="N547" s="108"/>
      <c r="O547" s="108" t="s">
        <v>1287</v>
      </c>
      <c r="P547" s="95" t="s">
        <v>193</v>
      </c>
      <c r="Q547" s="108"/>
      <c r="R547" s="108"/>
      <c r="S547" s="108"/>
      <c r="T547" s="184" t="s">
        <v>1274</v>
      </c>
      <c r="U547" s="24" t="s">
        <v>10</v>
      </c>
      <c r="V547" s="24" t="s">
        <v>16</v>
      </c>
      <c r="W547" s="24" t="s">
        <v>16</v>
      </c>
      <c r="X547" s="24" t="s">
        <v>193</v>
      </c>
      <c r="Y547" s="24" t="s">
        <v>2631</v>
      </c>
      <c r="Z547" s="46" t="s">
        <v>2468</v>
      </c>
      <c r="AA547" s="24">
        <v>1</v>
      </c>
      <c r="AB547" s="24" t="s">
        <v>2463</v>
      </c>
      <c r="AC547" s="24">
        <f>AD547+(AE547-AD547)/2</f>
        <v>89</v>
      </c>
      <c r="AD547" s="24">
        <v>73</v>
      </c>
      <c r="AE547" s="24">
        <v>105</v>
      </c>
      <c r="AF547" s="24"/>
      <c r="AG547" s="351"/>
      <c r="AH547" s="351"/>
      <c r="AI547" s="45" t="s">
        <v>256</v>
      </c>
      <c r="AJ547" s="103"/>
      <c r="AK547" s="103"/>
      <c r="AL547" s="351"/>
      <c r="AM547" s="351"/>
      <c r="AN547" s="46" t="s">
        <v>2561</v>
      </c>
      <c r="AO547" s="46" t="s">
        <v>2475</v>
      </c>
      <c r="AP547" s="46" t="s">
        <v>2405</v>
      </c>
      <c r="AQ547" s="46" t="s">
        <v>37</v>
      </c>
      <c r="AR547" s="47">
        <v>44125</v>
      </c>
      <c r="AS547" s="46" t="s">
        <v>37</v>
      </c>
      <c r="AT547" s="365"/>
      <c r="AU547" s="1107"/>
    </row>
    <row r="548" spans="1:47" ht="54" x14ac:dyDescent="0.25">
      <c r="A548" s="339"/>
      <c r="B548" s="116"/>
      <c r="C548" s="95"/>
      <c r="D548" s="567"/>
      <c r="E548" s="567"/>
      <c r="F548" s="95"/>
      <c r="G548" s="146"/>
      <c r="H548" s="108"/>
      <c r="I548" s="122"/>
      <c r="J548" s="95">
        <v>440</v>
      </c>
      <c r="K548" s="1062" t="s">
        <v>2384</v>
      </c>
      <c r="L548" s="913">
        <v>1353442.7949999999</v>
      </c>
      <c r="M548" s="913">
        <v>5071704.5992000001</v>
      </c>
      <c r="N548" s="108"/>
      <c r="O548" s="108" t="s">
        <v>2582</v>
      </c>
      <c r="P548" s="95" t="s">
        <v>193</v>
      </c>
      <c r="Q548" s="108"/>
      <c r="R548" s="108"/>
      <c r="S548" s="108"/>
      <c r="T548" s="184" t="s">
        <v>2703</v>
      </c>
      <c r="U548" s="24" t="s">
        <v>10</v>
      </c>
      <c r="V548" s="24" t="s">
        <v>16</v>
      </c>
      <c r="W548" s="24" t="s">
        <v>16</v>
      </c>
      <c r="X548" s="24" t="s">
        <v>193</v>
      </c>
      <c r="Y548" s="24" t="s">
        <v>2632</v>
      </c>
      <c r="Z548" s="46" t="s">
        <v>2468</v>
      </c>
      <c r="AA548" s="24">
        <v>1</v>
      </c>
      <c r="AB548" s="24" t="s">
        <v>2463</v>
      </c>
      <c r="AC548" s="24">
        <f>AD548+(AE548-AD548)/2</f>
        <v>89</v>
      </c>
      <c r="AD548" s="24">
        <v>73</v>
      </c>
      <c r="AE548" s="24">
        <v>105</v>
      </c>
      <c r="AF548" s="24"/>
      <c r="AG548" s="351"/>
      <c r="AH548" s="351"/>
      <c r="AI548" s="45" t="s">
        <v>256</v>
      </c>
      <c r="AJ548" s="103"/>
      <c r="AK548" s="103"/>
      <c r="AL548" s="351"/>
      <c r="AM548" s="351"/>
      <c r="AN548" s="46" t="s">
        <v>2561</v>
      </c>
      <c r="AO548" s="46" t="s">
        <v>2475</v>
      </c>
      <c r="AP548" s="46" t="s">
        <v>2405</v>
      </c>
      <c r="AQ548" s="46" t="s">
        <v>37</v>
      </c>
      <c r="AR548" s="47">
        <v>44125</v>
      </c>
      <c r="AS548" s="46" t="s">
        <v>37</v>
      </c>
      <c r="AT548" s="365"/>
      <c r="AU548" s="1107"/>
    </row>
    <row r="549" spans="1:47" ht="54" x14ac:dyDescent="0.25">
      <c r="A549" s="339"/>
      <c r="B549" s="116"/>
      <c r="C549" s="95"/>
      <c r="D549" s="567"/>
      <c r="E549" s="567"/>
      <c r="F549" s="95"/>
      <c r="G549" s="146"/>
      <c r="H549" s="108"/>
      <c r="I549" s="122"/>
      <c r="J549" s="95">
        <v>441</v>
      </c>
      <c r="K549" s="1062" t="s">
        <v>2385</v>
      </c>
      <c r="L549" s="913">
        <v>1353614.9383</v>
      </c>
      <c r="M549" s="913">
        <v>5071765.6341000004</v>
      </c>
      <c r="N549" s="108"/>
      <c r="O549" s="108" t="s">
        <v>2417</v>
      </c>
      <c r="P549" s="95" t="s">
        <v>193</v>
      </c>
      <c r="Q549" s="108"/>
      <c r="R549" s="108"/>
      <c r="S549" s="108"/>
      <c r="T549" s="184" t="s">
        <v>2644</v>
      </c>
      <c r="U549" s="24" t="s">
        <v>10</v>
      </c>
      <c r="V549" s="24" t="s">
        <v>10</v>
      </c>
      <c r="W549" s="24" t="s">
        <v>10</v>
      </c>
      <c r="X549" s="24" t="s">
        <v>193</v>
      </c>
      <c r="Y549" s="24" t="s">
        <v>2633</v>
      </c>
      <c r="Z549" s="46" t="s">
        <v>2468</v>
      </c>
      <c r="AA549" s="24">
        <v>1</v>
      </c>
      <c r="AB549" s="24" t="s">
        <v>2462</v>
      </c>
      <c r="AC549" s="24">
        <v>26.5</v>
      </c>
      <c r="AD549" s="24">
        <f>26.5-4</f>
        <v>22.5</v>
      </c>
      <c r="AE549" s="24">
        <f>26.5+4</f>
        <v>30.5</v>
      </c>
      <c r="AF549" s="24"/>
      <c r="AG549" s="351"/>
      <c r="AH549" s="351"/>
      <c r="AI549" s="45" t="s">
        <v>256</v>
      </c>
      <c r="AJ549" s="103"/>
      <c r="AK549" s="103"/>
      <c r="AL549" s="351"/>
      <c r="AM549" s="351"/>
      <c r="AN549" s="46" t="s">
        <v>2561</v>
      </c>
      <c r="AO549" s="46" t="s">
        <v>2473</v>
      </c>
      <c r="AP549" s="46" t="s">
        <v>2405</v>
      </c>
      <c r="AQ549" s="46" t="s">
        <v>37</v>
      </c>
      <c r="AR549" s="47">
        <v>44125</v>
      </c>
      <c r="AS549" s="46" t="s">
        <v>37</v>
      </c>
      <c r="AT549" s="365"/>
      <c r="AU549" s="1107"/>
    </row>
    <row r="550" spans="1:47" ht="54" x14ac:dyDescent="0.25">
      <c r="A550" s="339"/>
      <c r="B550" s="116"/>
      <c r="C550" s="95"/>
      <c r="D550" s="567"/>
      <c r="E550" s="567"/>
      <c r="F550" s="95"/>
      <c r="G550" s="146"/>
      <c r="H550" s="108"/>
      <c r="I550" s="122"/>
      <c r="J550" s="95">
        <v>442</v>
      </c>
      <c r="K550" s="1062" t="s">
        <v>2386</v>
      </c>
      <c r="L550" s="913">
        <v>1353589.6709</v>
      </c>
      <c r="M550" s="913">
        <v>5071864.7920000004</v>
      </c>
      <c r="N550" s="108"/>
      <c r="O550" s="108" t="s">
        <v>2583</v>
      </c>
      <c r="P550" s="95" t="s">
        <v>193</v>
      </c>
      <c r="Q550" s="108"/>
      <c r="R550" s="108"/>
      <c r="S550" s="108"/>
      <c r="T550" s="184" t="s">
        <v>2704</v>
      </c>
      <c r="U550" s="24" t="s">
        <v>10</v>
      </c>
      <c r="V550" s="24" t="s">
        <v>10</v>
      </c>
      <c r="W550" s="24" t="s">
        <v>10</v>
      </c>
      <c r="X550" s="24" t="s">
        <v>193</v>
      </c>
      <c r="Y550" s="24" t="s">
        <v>2634</v>
      </c>
      <c r="Z550" s="46" t="s">
        <v>2468</v>
      </c>
      <c r="AA550" s="24">
        <v>1</v>
      </c>
      <c r="AB550" s="24" t="s">
        <v>2461</v>
      </c>
      <c r="AC550" s="24">
        <v>15.2</v>
      </c>
      <c r="AD550" s="24">
        <f>15.2-2.4</f>
        <v>12.799999999999999</v>
      </c>
      <c r="AE550" s="24">
        <f>15.2+2.4</f>
        <v>17.599999999999998</v>
      </c>
      <c r="AF550" s="24"/>
      <c r="AG550" s="351"/>
      <c r="AH550" s="351"/>
      <c r="AI550" s="45" t="s">
        <v>256</v>
      </c>
      <c r="AJ550" s="103"/>
      <c r="AK550" s="103"/>
      <c r="AL550" s="351"/>
      <c r="AM550" s="351"/>
      <c r="AN550" s="46" t="s">
        <v>2561</v>
      </c>
      <c r="AO550" s="46" t="s">
        <v>2472</v>
      </c>
      <c r="AP550" s="46" t="s">
        <v>2405</v>
      </c>
      <c r="AQ550" s="46" t="s">
        <v>37</v>
      </c>
      <c r="AR550" s="47">
        <v>44125</v>
      </c>
      <c r="AS550" s="46" t="s">
        <v>37</v>
      </c>
      <c r="AT550" s="365"/>
      <c r="AU550" s="1107"/>
    </row>
    <row r="551" spans="1:47" ht="52.5" thickBot="1" x14ac:dyDescent="0.3">
      <c r="A551" s="336"/>
      <c r="B551" s="196"/>
      <c r="C551" s="96"/>
      <c r="D551" s="566"/>
      <c r="E551" s="566"/>
      <c r="F551" s="96"/>
      <c r="G551" s="147"/>
      <c r="H551" s="107"/>
      <c r="I551" s="123"/>
      <c r="J551" s="96">
        <v>443</v>
      </c>
      <c r="K551" s="1063" t="s">
        <v>2387</v>
      </c>
      <c r="L551" s="912">
        <v>1353501.5263</v>
      </c>
      <c r="M551" s="912">
        <v>5071920.4072000002</v>
      </c>
      <c r="N551" s="107"/>
      <c r="O551" s="107" t="s">
        <v>2584</v>
      </c>
      <c r="P551" s="96" t="s">
        <v>193</v>
      </c>
      <c r="Q551" s="107"/>
      <c r="R551" s="107"/>
      <c r="S551" s="107"/>
      <c r="T551" s="127" t="s">
        <v>2705</v>
      </c>
      <c r="U551" s="25" t="s">
        <v>10</v>
      </c>
      <c r="V551" s="25" t="s">
        <v>10</v>
      </c>
      <c r="W551" s="25" t="s">
        <v>10</v>
      </c>
      <c r="X551" s="25" t="s">
        <v>193</v>
      </c>
      <c r="Y551" s="25" t="s">
        <v>2635</v>
      </c>
      <c r="Z551" s="52" t="s">
        <v>2468</v>
      </c>
      <c r="AA551" s="25">
        <v>1</v>
      </c>
      <c r="AB551" s="25" t="s">
        <v>2461</v>
      </c>
      <c r="AC551" s="25">
        <v>15.2</v>
      </c>
      <c r="AD551" s="25">
        <v>12.8</v>
      </c>
      <c r="AE551" s="25">
        <v>17.600000000000001</v>
      </c>
      <c r="AF551" s="25"/>
      <c r="AG551" s="386"/>
      <c r="AH551" s="386"/>
      <c r="AI551" s="51" t="s">
        <v>256</v>
      </c>
      <c r="AJ551" s="105"/>
      <c r="AK551" s="105"/>
      <c r="AL551" s="386"/>
      <c r="AM551" s="386"/>
      <c r="AN551" s="52" t="s">
        <v>2562</v>
      </c>
      <c r="AO551" s="52" t="s">
        <v>2472</v>
      </c>
      <c r="AP551" s="52" t="s">
        <v>2405</v>
      </c>
      <c r="AQ551" s="52" t="s">
        <v>37</v>
      </c>
      <c r="AR551" s="53">
        <v>44125</v>
      </c>
      <c r="AS551" s="52" t="s">
        <v>37</v>
      </c>
      <c r="AT551" s="367"/>
      <c r="AU551" s="653"/>
    </row>
    <row r="552" spans="1:47" s="551" customFormat="1" ht="52.5" thickBot="1" x14ac:dyDescent="0.3">
      <c r="A552" s="807" t="s">
        <v>6208</v>
      </c>
      <c r="B552" s="349" t="s">
        <v>6208</v>
      </c>
      <c r="C552" s="157">
        <v>172</v>
      </c>
      <c r="D552" s="592" t="s">
        <v>57</v>
      </c>
      <c r="E552" s="592"/>
      <c r="F552" s="157" t="s">
        <v>4679</v>
      </c>
      <c r="G552" s="158" t="s">
        <v>1238</v>
      </c>
      <c r="H552" s="159" t="s">
        <v>6847</v>
      </c>
      <c r="I552" s="450" t="s">
        <v>6211</v>
      </c>
      <c r="J552" s="460">
        <v>903</v>
      </c>
      <c r="K552" s="433" t="s">
        <v>6206</v>
      </c>
      <c r="L552" s="949">
        <v>1910419.9617000001</v>
      </c>
      <c r="M552" s="924">
        <v>5802668.9269000003</v>
      </c>
      <c r="N552" s="159"/>
      <c r="O552" s="1074">
        <v>0.81</v>
      </c>
      <c r="P552" s="157" t="s">
        <v>194</v>
      </c>
      <c r="Q552" s="159"/>
      <c r="R552" s="159"/>
      <c r="S552" s="159" t="s">
        <v>6209</v>
      </c>
      <c r="T552" s="1097" t="s">
        <v>6212</v>
      </c>
      <c r="U552" s="206" t="s">
        <v>10</v>
      </c>
      <c r="V552" s="204" t="s">
        <v>16</v>
      </c>
      <c r="W552" s="204" t="s">
        <v>16</v>
      </c>
      <c r="X552" s="176" t="s">
        <v>194</v>
      </c>
      <c r="Y552" s="176" t="s">
        <v>6214</v>
      </c>
      <c r="Z552" s="208" t="s">
        <v>6008</v>
      </c>
      <c r="AA552" s="176">
        <v>1</v>
      </c>
      <c r="AB552" s="176" t="s">
        <v>1190</v>
      </c>
      <c r="AC552" s="204">
        <v>61</v>
      </c>
      <c r="AD552" s="204">
        <f>61-1.4</f>
        <v>59.6</v>
      </c>
      <c r="AE552" s="204">
        <v>62.4</v>
      </c>
      <c r="AF552" s="204"/>
      <c r="AG552" s="204"/>
      <c r="AH552" s="204"/>
      <c r="AI552" s="207" t="s">
        <v>256</v>
      </c>
      <c r="AJ552" s="205"/>
      <c r="AK552" s="205"/>
      <c r="AL552" s="353"/>
      <c r="AM552" s="353"/>
      <c r="AN552" s="207" t="s">
        <v>6084</v>
      </c>
      <c r="AO552" s="207" t="s">
        <v>6295</v>
      </c>
      <c r="AP552" s="208" t="s">
        <v>6121</v>
      </c>
      <c r="AQ552" s="208" t="s">
        <v>37</v>
      </c>
      <c r="AR552" s="209">
        <v>44316</v>
      </c>
      <c r="AS552" s="208" t="s">
        <v>37</v>
      </c>
      <c r="AT552" s="364"/>
      <c r="AU552" s="1109"/>
    </row>
    <row r="553" spans="1:47" s="551" customFormat="1" ht="39.75" thickBot="1" x14ac:dyDescent="0.3">
      <c r="A553" s="809"/>
      <c r="B553" s="174"/>
      <c r="C553" s="165"/>
      <c r="D553" s="574"/>
      <c r="E553" s="574"/>
      <c r="F553" s="165"/>
      <c r="G553" s="166"/>
      <c r="H553" s="167"/>
      <c r="I553" s="424"/>
      <c r="J553" s="461">
        <v>904</v>
      </c>
      <c r="K553" s="435" t="s">
        <v>6207</v>
      </c>
      <c r="L553" s="950">
        <v>1908886.3588</v>
      </c>
      <c r="M553" s="925">
        <v>5801217.3502000002</v>
      </c>
      <c r="N553" s="167"/>
      <c r="O553" s="1075">
        <v>0.59</v>
      </c>
      <c r="P553" s="165" t="s">
        <v>194</v>
      </c>
      <c r="Q553" s="167"/>
      <c r="R553" s="167"/>
      <c r="S553" s="167" t="s">
        <v>6210</v>
      </c>
      <c r="T553" s="1098" t="s">
        <v>6213</v>
      </c>
      <c r="U553" s="206" t="s">
        <v>10</v>
      </c>
      <c r="V553" s="204" t="s">
        <v>16</v>
      </c>
      <c r="W553" s="204" t="s">
        <v>16</v>
      </c>
      <c r="X553" s="176" t="s">
        <v>194</v>
      </c>
      <c r="Y553" s="176" t="s">
        <v>6215</v>
      </c>
      <c r="Z553" s="208" t="s">
        <v>6008</v>
      </c>
      <c r="AA553" s="176">
        <v>1</v>
      </c>
      <c r="AB553" s="176" t="s">
        <v>1190</v>
      </c>
      <c r="AC553" s="204">
        <v>61</v>
      </c>
      <c r="AD553" s="204">
        <f>61-1.4</f>
        <v>59.6</v>
      </c>
      <c r="AE553" s="204">
        <v>62.4</v>
      </c>
      <c r="AF553" s="204"/>
      <c r="AG553" s="204"/>
      <c r="AH553" s="204"/>
      <c r="AI553" s="207" t="s">
        <v>256</v>
      </c>
      <c r="AJ553" s="205"/>
      <c r="AK553" s="205"/>
      <c r="AL553" s="353"/>
      <c r="AM553" s="353"/>
      <c r="AN553" s="207" t="s">
        <v>6084</v>
      </c>
      <c r="AO553" s="207" t="s">
        <v>6295</v>
      </c>
      <c r="AP553" s="208" t="s">
        <v>6121</v>
      </c>
      <c r="AQ553" s="208" t="s">
        <v>37</v>
      </c>
      <c r="AR553" s="209">
        <v>44316</v>
      </c>
      <c r="AS553" s="208" t="s">
        <v>37</v>
      </c>
      <c r="AT553" s="364"/>
      <c r="AU553" s="1109"/>
    </row>
    <row r="554" spans="1:47" ht="65.25" thickBot="1" x14ac:dyDescent="0.3">
      <c r="A554" s="334" t="s">
        <v>5230</v>
      </c>
      <c r="B554" s="333" t="s">
        <v>5230</v>
      </c>
      <c r="C554" s="84">
        <v>320</v>
      </c>
      <c r="D554" s="591" t="s">
        <v>53</v>
      </c>
      <c r="E554" s="591" t="s">
        <v>52</v>
      </c>
      <c r="F554" s="84" t="s">
        <v>152</v>
      </c>
      <c r="G554" s="84" t="s">
        <v>1972</v>
      </c>
      <c r="H554" s="109" t="s">
        <v>2242</v>
      </c>
      <c r="I554" s="124" t="s">
        <v>5575</v>
      </c>
      <c r="J554" s="89">
        <v>2310</v>
      </c>
      <c r="K554" s="396" t="s">
        <v>5231</v>
      </c>
      <c r="L554" s="908">
        <v>1837805.3798</v>
      </c>
      <c r="M554" s="908">
        <v>5492907.7953000003</v>
      </c>
      <c r="N554" s="109">
        <v>30</v>
      </c>
      <c r="O554" s="109" t="s">
        <v>5232</v>
      </c>
      <c r="P554" s="109" t="s">
        <v>5</v>
      </c>
      <c r="Q554" s="296"/>
      <c r="R554" s="296"/>
      <c r="S554" s="296"/>
      <c r="T554" s="295" t="s">
        <v>5870</v>
      </c>
      <c r="U554" s="294" t="s">
        <v>16</v>
      </c>
      <c r="V554" s="197" t="s">
        <v>85</v>
      </c>
      <c r="W554" s="197" t="s">
        <v>16</v>
      </c>
      <c r="X554" s="197" t="s">
        <v>61</v>
      </c>
      <c r="Y554" s="307" t="s">
        <v>5233</v>
      </c>
      <c r="Z554" s="92" t="s">
        <v>5174</v>
      </c>
      <c r="AA554" s="197">
        <v>2</v>
      </c>
      <c r="AB554" s="307" t="s">
        <v>5156</v>
      </c>
      <c r="AC554" s="197">
        <v>12</v>
      </c>
      <c r="AD554" s="197"/>
      <c r="AE554" s="197"/>
      <c r="AF554" s="197">
        <v>10</v>
      </c>
      <c r="AG554" s="197"/>
      <c r="AH554" s="197"/>
      <c r="AI554" s="94" t="s">
        <v>256</v>
      </c>
      <c r="AJ554" s="197" t="s">
        <v>3459</v>
      </c>
      <c r="AK554" s="197"/>
      <c r="AL554" s="197"/>
      <c r="AM554" s="197"/>
      <c r="AN554" s="94" t="s">
        <v>5871</v>
      </c>
      <c r="AO554" s="292" t="s">
        <v>5157</v>
      </c>
      <c r="AP554" s="92" t="s">
        <v>1462</v>
      </c>
      <c r="AQ554" s="92" t="s">
        <v>3457</v>
      </c>
      <c r="AR554" s="93">
        <v>44243</v>
      </c>
      <c r="AS554" s="92" t="s">
        <v>3457</v>
      </c>
      <c r="AT554" s="291">
        <v>44271</v>
      </c>
      <c r="AU554" s="290" t="s">
        <v>37</v>
      </c>
    </row>
    <row r="555" spans="1:47" s="135" customFormat="1" ht="51.75" x14ac:dyDescent="0.25">
      <c r="A555" s="487" t="s">
        <v>1174</v>
      </c>
      <c r="B555" s="128" t="s">
        <v>1174</v>
      </c>
      <c r="C555" s="72">
        <v>207</v>
      </c>
      <c r="D555" s="586" t="s">
        <v>57</v>
      </c>
      <c r="E555" s="586"/>
      <c r="F555" s="72" t="s">
        <v>668</v>
      </c>
      <c r="G555" s="140" t="s">
        <v>1238</v>
      </c>
      <c r="H555" s="129" t="s">
        <v>1185</v>
      </c>
      <c r="I555" s="381" t="s">
        <v>5505</v>
      </c>
      <c r="J555" s="187">
        <v>214</v>
      </c>
      <c r="K555" s="73" t="s">
        <v>1175</v>
      </c>
      <c r="L555" s="914">
        <v>1886962.6669000001</v>
      </c>
      <c r="M555" s="914">
        <v>5750475.3278999999</v>
      </c>
      <c r="N555" s="129"/>
      <c r="O555" s="129" t="s">
        <v>1177</v>
      </c>
      <c r="P555" s="129" t="s">
        <v>194</v>
      </c>
      <c r="Q555" s="1099"/>
      <c r="R555" s="1099"/>
      <c r="S555" s="1099"/>
      <c r="T555" s="266" t="s">
        <v>1185</v>
      </c>
      <c r="U555" s="169" t="s">
        <v>16</v>
      </c>
      <c r="V555" s="151" t="s">
        <v>16</v>
      </c>
      <c r="W555" s="151" t="s">
        <v>16</v>
      </c>
      <c r="X555" s="153" t="s">
        <v>194</v>
      </c>
      <c r="Y555" s="153" t="s">
        <v>1178</v>
      </c>
      <c r="Z555" s="152" t="s">
        <v>1179</v>
      </c>
      <c r="AA555" s="153">
        <v>1</v>
      </c>
      <c r="AB555" s="153" t="s">
        <v>1181</v>
      </c>
      <c r="AC555" s="151">
        <v>360</v>
      </c>
      <c r="AD555" s="151">
        <v>330</v>
      </c>
      <c r="AE555" s="151">
        <v>390</v>
      </c>
      <c r="AF555" s="151"/>
      <c r="AG555" s="151"/>
      <c r="AH555" s="151"/>
      <c r="AI555" s="203" t="s">
        <v>256</v>
      </c>
      <c r="AJ555" s="202"/>
      <c r="AK555" s="202"/>
      <c r="AL555" s="442"/>
      <c r="AM555" s="442"/>
      <c r="AN555" s="30" t="s">
        <v>1195</v>
      </c>
      <c r="AO555" s="203" t="s">
        <v>1184</v>
      </c>
      <c r="AP555" s="152" t="s">
        <v>1165</v>
      </c>
      <c r="AQ555" s="152" t="s">
        <v>37</v>
      </c>
      <c r="AR555" s="170">
        <v>44091</v>
      </c>
      <c r="AS555" s="152" t="s">
        <v>37</v>
      </c>
      <c r="AT555" s="361"/>
      <c r="AU555" s="1112"/>
    </row>
    <row r="556" spans="1:47" s="135" customFormat="1" ht="51.75" x14ac:dyDescent="0.25">
      <c r="A556" s="488"/>
      <c r="B556" s="131"/>
      <c r="C556" s="75"/>
      <c r="D556" s="568"/>
      <c r="E556" s="568"/>
      <c r="F556" s="75"/>
      <c r="G556" s="143"/>
      <c r="H556" s="118"/>
      <c r="I556" s="121"/>
      <c r="J556" s="188">
        <v>215</v>
      </c>
      <c r="K556" s="76" t="s">
        <v>1186</v>
      </c>
      <c r="L556" s="915">
        <v>1892218.8670000001</v>
      </c>
      <c r="M556" s="915">
        <v>5755302.915</v>
      </c>
      <c r="N556" s="118"/>
      <c r="O556" s="118" t="s">
        <v>1187</v>
      </c>
      <c r="P556" s="118" t="s">
        <v>194</v>
      </c>
      <c r="Q556" s="1100"/>
      <c r="R556" s="1100"/>
      <c r="S556" s="1100"/>
      <c r="T556" s="601" t="s">
        <v>1188</v>
      </c>
      <c r="U556" s="138" t="s">
        <v>16</v>
      </c>
      <c r="V556" s="136" t="s">
        <v>16</v>
      </c>
      <c r="W556" s="136" t="s">
        <v>16</v>
      </c>
      <c r="X556" s="132" t="s">
        <v>194</v>
      </c>
      <c r="Y556" s="132" t="s">
        <v>1191</v>
      </c>
      <c r="Z556" s="137" t="s">
        <v>1189</v>
      </c>
      <c r="AA556" s="132">
        <v>2</v>
      </c>
      <c r="AB556" s="132" t="s">
        <v>1190</v>
      </c>
      <c r="AC556" s="136">
        <v>61</v>
      </c>
      <c r="AD556" s="136">
        <f>61-1.4</f>
        <v>59.6</v>
      </c>
      <c r="AE556" s="136">
        <f>61+1.4</f>
        <v>62.4</v>
      </c>
      <c r="AF556" s="136"/>
      <c r="AG556" s="136"/>
      <c r="AH556" s="136"/>
      <c r="AI556" s="180" t="s">
        <v>256</v>
      </c>
      <c r="AJ556" s="173"/>
      <c r="AK556" s="173"/>
      <c r="AL556" s="350"/>
      <c r="AM556" s="350"/>
      <c r="AN556" s="45" t="s">
        <v>1194</v>
      </c>
      <c r="AO556" s="180" t="s">
        <v>1192</v>
      </c>
      <c r="AP556" s="137" t="s">
        <v>1193</v>
      </c>
      <c r="AQ556" s="137" t="s">
        <v>37</v>
      </c>
      <c r="AR556" s="139">
        <v>44092</v>
      </c>
      <c r="AS556" s="137" t="s">
        <v>37</v>
      </c>
      <c r="AT556" s="358"/>
      <c r="AU556" s="1110"/>
    </row>
    <row r="557" spans="1:47" s="135" customFormat="1" ht="65.25" thickBot="1" x14ac:dyDescent="0.3">
      <c r="A557" s="489"/>
      <c r="B557" s="133"/>
      <c r="C557" s="78"/>
      <c r="D557" s="569"/>
      <c r="E557" s="569"/>
      <c r="F557" s="78"/>
      <c r="G557" s="144"/>
      <c r="H557" s="119"/>
      <c r="I557" s="429"/>
      <c r="J557" s="192">
        <v>216</v>
      </c>
      <c r="K557" s="79" t="s">
        <v>1176</v>
      </c>
      <c r="L557" s="916">
        <v>1892112.3670000001</v>
      </c>
      <c r="M557" s="916">
        <v>5755162.4197000004</v>
      </c>
      <c r="N557" s="119"/>
      <c r="O557" s="119" t="s">
        <v>1196</v>
      </c>
      <c r="P557" s="119" t="s">
        <v>194</v>
      </c>
      <c r="Q557" s="1101"/>
      <c r="R557" s="1101"/>
      <c r="S557" s="1101"/>
      <c r="T557" s="267" t="s">
        <v>1198</v>
      </c>
      <c r="U557" s="171" t="s">
        <v>16</v>
      </c>
      <c r="V557" s="154" t="s">
        <v>16</v>
      </c>
      <c r="W557" s="154" t="s">
        <v>16</v>
      </c>
      <c r="X557" s="156" t="s">
        <v>194</v>
      </c>
      <c r="Y557" s="156"/>
      <c r="Z557" s="155" t="s">
        <v>1180</v>
      </c>
      <c r="AA557" s="156">
        <v>2</v>
      </c>
      <c r="AB557" s="49" t="s">
        <v>1183</v>
      </c>
      <c r="AC557" s="154"/>
      <c r="AD557" s="154">
        <v>11.8</v>
      </c>
      <c r="AE557" s="154">
        <v>13.5</v>
      </c>
      <c r="AF557" s="154"/>
      <c r="AG557" s="154"/>
      <c r="AH557" s="154"/>
      <c r="AI557" s="183" t="s">
        <v>256</v>
      </c>
      <c r="AJ557" s="201"/>
      <c r="AK557" s="201"/>
      <c r="AL557" s="443"/>
      <c r="AM557" s="443"/>
      <c r="AN557" s="51" t="s">
        <v>1200</v>
      </c>
      <c r="AO557" s="183" t="s">
        <v>1199</v>
      </c>
      <c r="AP557" s="155" t="s">
        <v>1193</v>
      </c>
      <c r="AQ557" s="155" t="s">
        <v>37</v>
      </c>
      <c r="AR557" s="172">
        <v>44092</v>
      </c>
      <c r="AS557" s="155" t="s">
        <v>37</v>
      </c>
      <c r="AT557" s="362"/>
      <c r="AU557" s="1111"/>
    </row>
    <row r="558" spans="1:47" s="135" customFormat="1" ht="51.75" x14ac:dyDescent="0.25">
      <c r="A558" s="341" t="s">
        <v>918</v>
      </c>
      <c r="B558" s="181" t="s">
        <v>918</v>
      </c>
      <c r="C558" s="125">
        <v>411</v>
      </c>
      <c r="D558" s="585" t="s">
        <v>52</v>
      </c>
      <c r="E558" s="585" t="s">
        <v>53</v>
      </c>
      <c r="F558" s="125" t="s">
        <v>906</v>
      </c>
      <c r="G558" s="145" t="s">
        <v>4986</v>
      </c>
      <c r="H558" s="126" t="s">
        <v>5506</v>
      </c>
      <c r="I558" s="247" t="s">
        <v>150</v>
      </c>
      <c r="J558" s="189">
        <v>158</v>
      </c>
      <c r="K558" s="355" t="s">
        <v>919</v>
      </c>
      <c r="L558" s="911">
        <v>1827797.6889</v>
      </c>
      <c r="M558" s="911">
        <v>5413972.5514000002</v>
      </c>
      <c r="N558" s="126"/>
      <c r="O558" s="126" t="s">
        <v>920</v>
      </c>
      <c r="P558" s="126" t="s">
        <v>194</v>
      </c>
      <c r="Q558" s="126"/>
      <c r="R558" s="126"/>
      <c r="S558" s="126"/>
      <c r="T558" s="344" t="s">
        <v>921</v>
      </c>
      <c r="U558" s="169" t="s">
        <v>16</v>
      </c>
      <c r="V558" s="151" t="s">
        <v>10</v>
      </c>
      <c r="W558" s="151" t="s">
        <v>16</v>
      </c>
      <c r="X558" s="153" t="s">
        <v>194</v>
      </c>
      <c r="Y558" s="151" t="s">
        <v>924</v>
      </c>
      <c r="Z558" s="152" t="s">
        <v>933</v>
      </c>
      <c r="AA558" s="153">
        <v>1</v>
      </c>
      <c r="AB558" s="153" t="s">
        <v>925</v>
      </c>
      <c r="AC558" s="151"/>
      <c r="AD558" s="151">
        <v>9.2810000000000006</v>
      </c>
      <c r="AE558" s="151">
        <v>9.4610000000000003</v>
      </c>
      <c r="AF558" s="151"/>
      <c r="AG558" s="151"/>
      <c r="AH558" s="151"/>
      <c r="AI558" s="203" t="s">
        <v>549</v>
      </c>
      <c r="AJ558" s="202"/>
      <c r="AK558" s="202"/>
      <c r="AL558" s="442"/>
      <c r="AM558" s="442"/>
      <c r="AN558" s="203" t="s">
        <v>930</v>
      </c>
      <c r="AO558" s="203" t="s">
        <v>926</v>
      </c>
      <c r="AP558" s="152" t="s">
        <v>927</v>
      </c>
      <c r="AQ558" s="152" t="s">
        <v>37</v>
      </c>
      <c r="AR558" s="170">
        <v>44077</v>
      </c>
      <c r="AS558" s="152" t="s">
        <v>37</v>
      </c>
      <c r="AT558" s="361"/>
      <c r="AU558" s="1112"/>
    </row>
    <row r="559" spans="1:47" s="135" customFormat="1" ht="52.5" thickBot="1" x14ac:dyDescent="0.3">
      <c r="A559" s="339"/>
      <c r="B559" s="116"/>
      <c r="C559" s="95"/>
      <c r="D559" s="567"/>
      <c r="E559" s="567"/>
      <c r="F559" s="95"/>
      <c r="G559" s="146"/>
      <c r="H559" s="108"/>
      <c r="I559" s="122"/>
      <c r="J559" s="190">
        <v>159</v>
      </c>
      <c r="K559" s="357" t="s">
        <v>928</v>
      </c>
      <c r="L559" s="912">
        <v>1828079.5425</v>
      </c>
      <c r="M559" s="912">
        <v>5415097.0484999996</v>
      </c>
      <c r="N559" s="107"/>
      <c r="O559" s="107" t="s">
        <v>929</v>
      </c>
      <c r="P559" s="107" t="s">
        <v>194</v>
      </c>
      <c r="Q559" s="107"/>
      <c r="R559" s="107"/>
      <c r="S559" s="107"/>
      <c r="T559" s="127" t="s">
        <v>931</v>
      </c>
      <c r="U559" s="171" t="s">
        <v>16</v>
      </c>
      <c r="V559" s="154" t="s">
        <v>16</v>
      </c>
      <c r="W559" s="154" t="s">
        <v>16</v>
      </c>
      <c r="X559" s="156" t="s">
        <v>194</v>
      </c>
      <c r="Y559" s="154" t="s">
        <v>932</v>
      </c>
      <c r="Z559" s="155" t="s">
        <v>933</v>
      </c>
      <c r="AA559" s="156">
        <v>1</v>
      </c>
      <c r="AB559" s="156" t="s">
        <v>934</v>
      </c>
      <c r="AC559" s="154"/>
      <c r="AD559" s="154">
        <v>8.1669999999999998</v>
      </c>
      <c r="AE559" s="154">
        <v>8.3369999999999997</v>
      </c>
      <c r="AF559" s="154"/>
      <c r="AG559" s="154"/>
      <c r="AH559" s="154"/>
      <c r="AI559" s="183" t="s">
        <v>549</v>
      </c>
      <c r="AJ559" s="201"/>
      <c r="AK559" s="201"/>
      <c r="AL559" s="443"/>
      <c r="AM559" s="443"/>
      <c r="AN559" s="183" t="s">
        <v>930</v>
      </c>
      <c r="AO559" s="183" t="s">
        <v>926</v>
      </c>
      <c r="AP559" s="155" t="s">
        <v>927</v>
      </c>
      <c r="AQ559" s="155" t="s">
        <v>37</v>
      </c>
      <c r="AR559" s="172">
        <v>44077</v>
      </c>
      <c r="AS559" s="155" t="s">
        <v>37</v>
      </c>
      <c r="AT559" s="362"/>
      <c r="AU559" s="1111"/>
    </row>
    <row r="560" spans="1:47" s="135" customFormat="1" ht="52.5" thickBot="1" x14ac:dyDescent="0.3">
      <c r="A560" s="339"/>
      <c r="B560" s="116"/>
      <c r="C560" s="95"/>
      <c r="D560" s="567"/>
      <c r="E560" s="567"/>
      <c r="F560" s="95"/>
      <c r="G560" s="146"/>
      <c r="H560" s="108"/>
      <c r="I560" s="122"/>
      <c r="J560" s="190">
        <v>160</v>
      </c>
      <c r="K560" s="357" t="s">
        <v>935</v>
      </c>
      <c r="L560" s="912">
        <v>1809673.5190999999</v>
      </c>
      <c r="M560" s="912">
        <v>5402356.9933000002</v>
      </c>
      <c r="N560" s="107"/>
      <c r="O560" s="107" t="s">
        <v>936</v>
      </c>
      <c r="P560" s="107" t="s">
        <v>194</v>
      </c>
      <c r="Q560" s="107"/>
      <c r="R560" s="107"/>
      <c r="S560" s="107"/>
      <c r="T560" s="127" t="s">
        <v>937</v>
      </c>
      <c r="U560" s="171" t="s">
        <v>16</v>
      </c>
      <c r="V560" s="154" t="s">
        <v>85</v>
      </c>
      <c r="W560" s="154" t="s">
        <v>85</v>
      </c>
      <c r="X560" s="156" t="s">
        <v>194</v>
      </c>
      <c r="Y560" s="154" t="s">
        <v>938</v>
      </c>
      <c r="Z560" s="155" t="s">
        <v>933</v>
      </c>
      <c r="AA560" s="156">
        <v>1</v>
      </c>
      <c r="AB560" s="49" t="s">
        <v>990</v>
      </c>
      <c r="AC560" s="154"/>
      <c r="AD560" s="154">
        <v>7</v>
      </c>
      <c r="AE560" s="154">
        <v>8</v>
      </c>
      <c r="AF560" s="154"/>
      <c r="AG560" s="154"/>
      <c r="AH560" s="154"/>
      <c r="AI560" s="183" t="s">
        <v>256</v>
      </c>
      <c r="AJ560" s="201"/>
      <c r="AK560" s="201"/>
      <c r="AL560" s="443"/>
      <c r="AM560" s="443"/>
      <c r="AN560" s="183" t="s">
        <v>930</v>
      </c>
      <c r="AO560" s="183" t="s">
        <v>939</v>
      </c>
      <c r="AP560" s="155" t="s">
        <v>927</v>
      </c>
      <c r="AQ560" s="155" t="s">
        <v>37</v>
      </c>
      <c r="AR560" s="172">
        <v>44077</v>
      </c>
      <c r="AS560" s="155" t="s">
        <v>37</v>
      </c>
      <c r="AT560" s="362"/>
      <c r="AU560" s="1111"/>
    </row>
    <row r="561" spans="1:47" s="135" customFormat="1" ht="51.75" x14ac:dyDescent="0.25">
      <c r="A561" s="339"/>
      <c r="B561" s="116"/>
      <c r="C561" s="95"/>
      <c r="D561" s="567"/>
      <c r="E561" s="567"/>
      <c r="F561" s="95"/>
      <c r="G561" s="146"/>
      <c r="H561" s="108"/>
      <c r="I561" s="116"/>
      <c r="J561" s="189">
        <v>189</v>
      </c>
      <c r="K561" s="355" t="s">
        <v>1046</v>
      </c>
      <c r="L561" s="911">
        <v>1802018.4201</v>
      </c>
      <c r="M561" s="911">
        <v>5396066.7916999999</v>
      </c>
      <c r="N561" s="126"/>
      <c r="O561" s="126" t="s">
        <v>1048</v>
      </c>
      <c r="P561" s="126" t="s">
        <v>194</v>
      </c>
      <c r="Q561" s="126"/>
      <c r="R561" s="126"/>
      <c r="S561" s="126"/>
      <c r="T561" s="344" t="s">
        <v>1053</v>
      </c>
      <c r="U561" s="151" t="s">
        <v>85</v>
      </c>
      <c r="V561" s="151" t="s">
        <v>16</v>
      </c>
      <c r="W561" s="151" t="s">
        <v>85</v>
      </c>
      <c r="X561" s="153" t="s">
        <v>194</v>
      </c>
      <c r="Y561" s="151" t="s">
        <v>1052</v>
      </c>
      <c r="Z561" s="152" t="s">
        <v>933</v>
      </c>
      <c r="AA561" s="153">
        <v>1</v>
      </c>
      <c r="AB561" s="153" t="s">
        <v>1050</v>
      </c>
      <c r="AC561" s="151">
        <v>11.031000000000001</v>
      </c>
      <c r="AD561" s="151"/>
      <c r="AE561" s="151"/>
      <c r="AF561" s="151"/>
      <c r="AG561" s="151"/>
      <c r="AH561" s="151"/>
      <c r="AI561" s="203" t="s">
        <v>549</v>
      </c>
      <c r="AJ561" s="202"/>
      <c r="AK561" s="202"/>
      <c r="AL561" s="442"/>
      <c r="AM561" s="442"/>
      <c r="AN561" s="203" t="s">
        <v>930</v>
      </c>
      <c r="AO561" s="30" t="s">
        <v>974</v>
      </c>
      <c r="AP561" s="152" t="s">
        <v>6982</v>
      </c>
      <c r="AQ561" s="152" t="s">
        <v>37</v>
      </c>
      <c r="AR561" s="170">
        <v>44081</v>
      </c>
      <c r="AS561" s="152" t="s">
        <v>37</v>
      </c>
      <c r="AT561" s="361"/>
      <c r="AU561" s="1112"/>
    </row>
    <row r="562" spans="1:47" s="135" customFormat="1" ht="52.5" thickBot="1" x14ac:dyDescent="0.3">
      <c r="A562" s="339"/>
      <c r="B562" s="116"/>
      <c r="C562" s="95"/>
      <c r="D562" s="567"/>
      <c r="E562" s="567"/>
      <c r="F562" s="95"/>
      <c r="G562" s="146"/>
      <c r="H562" s="108"/>
      <c r="I562" s="116"/>
      <c r="J562" s="190">
        <v>190</v>
      </c>
      <c r="K562" s="357" t="s">
        <v>1047</v>
      </c>
      <c r="L562" s="912">
        <v>1798714.3066</v>
      </c>
      <c r="M562" s="912">
        <v>5395761.1354999999</v>
      </c>
      <c r="N562" s="107"/>
      <c r="O562" s="107" t="s">
        <v>1049</v>
      </c>
      <c r="P562" s="107" t="s">
        <v>194</v>
      </c>
      <c r="Q562" s="107"/>
      <c r="R562" s="107"/>
      <c r="S562" s="107"/>
      <c r="T562" s="127" t="s">
        <v>1054</v>
      </c>
      <c r="U562" s="154" t="s">
        <v>85</v>
      </c>
      <c r="V562" s="154" t="s">
        <v>16</v>
      </c>
      <c r="W562" s="154" t="s">
        <v>85</v>
      </c>
      <c r="X562" s="156" t="s">
        <v>194</v>
      </c>
      <c r="Y562" s="154">
        <v>40.4</v>
      </c>
      <c r="Z562" s="155" t="s">
        <v>933</v>
      </c>
      <c r="AA562" s="156">
        <v>1</v>
      </c>
      <c r="AB562" s="156" t="s">
        <v>1051</v>
      </c>
      <c r="AC562" s="154">
        <v>8.8149999999999995</v>
      </c>
      <c r="AD562" s="154"/>
      <c r="AE562" s="154"/>
      <c r="AF562" s="154"/>
      <c r="AG562" s="154"/>
      <c r="AH562" s="154"/>
      <c r="AI562" s="183" t="s">
        <v>549</v>
      </c>
      <c r="AJ562" s="201"/>
      <c r="AK562" s="201"/>
      <c r="AL562" s="443"/>
      <c r="AM562" s="443"/>
      <c r="AN562" s="183" t="s">
        <v>930</v>
      </c>
      <c r="AO562" s="51" t="s">
        <v>974</v>
      </c>
      <c r="AP562" s="155" t="s">
        <v>6982</v>
      </c>
      <c r="AQ562" s="155" t="s">
        <v>37</v>
      </c>
      <c r="AR562" s="172">
        <v>44081</v>
      </c>
      <c r="AS562" s="155" t="s">
        <v>37</v>
      </c>
      <c r="AT562" s="362"/>
      <c r="AU562" s="1111"/>
    </row>
    <row r="563" spans="1:47" s="135" customFormat="1" ht="52.5" thickBot="1" x14ac:dyDescent="0.3">
      <c r="A563" s="336"/>
      <c r="B563" s="196"/>
      <c r="C563" s="96"/>
      <c r="D563" s="566"/>
      <c r="E563" s="566"/>
      <c r="F563" s="96"/>
      <c r="G563" s="147"/>
      <c r="H563" s="107"/>
      <c r="I563" s="196"/>
      <c r="J563" s="190">
        <v>191</v>
      </c>
      <c r="K563" s="357" t="s">
        <v>1056</v>
      </c>
      <c r="L563" s="912">
        <v>1786976.5545000001</v>
      </c>
      <c r="M563" s="912">
        <v>5392823.6162999999</v>
      </c>
      <c r="N563" s="107"/>
      <c r="O563" s="107" t="s">
        <v>1057</v>
      </c>
      <c r="P563" s="107" t="s">
        <v>194</v>
      </c>
      <c r="Q563" s="107"/>
      <c r="R563" s="107"/>
      <c r="S563" s="107"/>
      <c r="T563" s="127" t="s">
        <v>6352</v>
      </c>
      <c r="U563" s="154" t="s">
        <v>16</v>
      </c>
      <c r="V563" s="154" t="s">
        <v>16</v>
      </c>
      <c r="W563" s="154" t="s">
        <v>16</v>
      </c>
      <c r="X563" s="156" t="s">
        <v>194</v>
      </c>
      <c r="Y563" s="154" t="s">
        <v>1058</v>
      </c>
      <c r="Z563" s="155" t="s">
        <v>933</v>
      </c>
      <c r="AA563" s="156">
        <v>1</v>
      </c>
      <c r="AB563" s="156">
        <v>123</v>
      </c>
      <c r="AC563" s="154">
        <v>123</v>
      </c>
      <c r="AD563" s="154"/>
      <c r="AE563" s="154"/>
      <c r="AF563" s="154"/>
      <c r="AG563" s="154"/>
      <c r="AH563" s="154"/>
      <c r="AI563" s="183" t="s">
        <v>23</v>
      </c>
      <c r="AJ563" s="201"/>
      <c r="AK563" s="201"/>
      <c r="AL563" s="443"/>
      <c r="AM563" s="443"/>
      <c r="AN563" s="183" t="s">
        <v>930</v>
      </c>
      <c r="AO563" s="51" t="s">
        <v>1059</v>
      </c>
      <c r="AP563" s="155" t="s">
        <v>1055</v>
      </c>
      <c r="AQ563" s="155" t="s">
        <v>37</v>
      </c>
      <c r="AR563" s="172">
        <v>44081</v>
      </c>
      <c r="AS563" s="155" t="s">
        <v>37</v>
      </c>
      <c r="AT563" s="362"/>
      <c r="AU563" s="1111"/>
    </row>
    <row r="564" spans="1:47" ht="77.25" x14ac:dyDescent="0.25">
      <c r="A564" s="487" t="s">
        <v>2226</v>
      </c>
      <c r="B564" s="128" t="s">
        <v>2226</v>
      </c>
      <c r="C564" s="72">
        <v>581</v>
      </c>
      <c r="D564" s="586" t="s">
        <v>52</v>
      </c>
      <c r="E564" s="586" t="s">
        <v>408</v>
      </c>
      <c r="F564" s="72" t="s">
        <v>668</v>
      </c>
      <c r="G564" s="72" t="s">
        <v>2241</v>
      </c>
      <c r="H564" s="129" t="s">
        <v>2242</v>
      </c>
      <c r="I564" s="381" t="s">
        <v>2243</v>
      </c>
      <c r="J564" s="64">
        <v>1187</v>
      </c>
      <c r="K564" s="65" t="s">
        <v>2227</v>
      </c>
      <c r="L564" s="940">
        <v>1671574.5077</v>
      </c>
      <c r="M564" s="940">
        <v>5333924.7933999998</v>
      </c>
      <c r="N564" s="251"/>
      <c r="O564" s="1076" t="s">
        <v>2228</v>
      </c>
      <c r="P564" s="64" t="s">
        <v>194</v>
      </c>
      <c r="Q564" s="251"/>
      <c r="R564" s="251"/>
      <c r="S564" s="251"/>
      <c r="T564" s="303" t="s">
        <v>2229</v>
      </c>
      <c r="U564" s="31" t="s">
        <v>16</v>
      </c>
      <c r="V564" s="31" t="s">
        <v>85</v>
      </c>
      <c r="W564" s="31" t="s">
        <v>85</v>
      </c>
      <c r="X564" s="31" t="s">
        <v>194</v>
      </c>
      <c r="Y564" s="31" t="s">
        <v>2230</v>
      </c>
      <c r="Z564" s="40" t="s">
        <v>604</v>
      </c>
      <c r="AA564" s="31"/>
      <c r="AB564" s="383" t="s">
        <v>2231</v>
      </c>
      <c r="AC564" s="31"/>
      <c r="AD564" s="31">
        <v>10</v>
      </c>
      <c r="AE564" s="31">
        <v>12</v>
      </c>
      <c r="AF564" s="31"/>
      <c r="AG564" s="372"/>
      <c r="AH564" s="372"/>
      <c r="AI564" s="30" t="s">
        <v>256</v>
      </c>
      <c r="AJ564" s="31"/>
      <c r="AK564" s="31"/>
      <c r="AL564" s="372"/>
      <c r="AM564" s="372"/>
      <c r="AN564" s="40" t="s">
        <v>2232</v>
      </c>
      <c r="AO564" s="40" t="s">
        <v>2233</v>
      </c>
      <c r="AP564" s="40" t="s">
        <v>2144</v>
      </c>
      <c r="AQ564" s="40" t="s">
        <v>1380</v>
      </c>
      <c r="AR564" s="41">
        <v>44097</v>
      </c>
      <c r="AS564" s="40" t="s">
        <v>1380</v>
      </c>
      <c r="AT564" s="41">
        <v>44105</v>
      </c>
      <c r="AU564" s="652" t="s">
        <v>37</v>
      </c>
    </row>
    <row r="565" spans="1:47" ht="78" thickBot="1" x14ac:dyDescent="0.3">
      <c r="A565" s="488"/>
      <c r="B565" s="131"/>
      <c r="C565" s="75"/>
      <c r="D565" s="568"/>
      <c r="E565" s="568"/>
      <c r="F565" s="75"/>
      <c r="G565" s="75"/>
      <c r="H565" s="118"/>
      <c r="I565" s="121"/>
      <c r="J565" s="69">
        <v>1188</v>
      </c>
      <c r="K565" s="70" t="s">
        <v>2234</v>
      </c>
      <c r="L565" s="941">
        <v>1671521.2363</v>
      </c>
      <c r="M565" s="941">
        <v>5333766.3751999997</v>
      </c>
      <c r="N565" s="233"/>
      <c r="O565" s="1077" t="s">
        <v>2228</v>
      </c>
      <c r="P565" s="69" t="s">
        <v>194</v>
      </c>
      <c r="Q565" s="233"/>
      <c r="R565" s="233"/>
      <c r="S565" s="233"/>
      <c r="T565" s="322" t="s">
        <v>2235</v>
      </c>
      <c r="U565" s="25" t="s">
        <v>16</v>
      </c>
      <c r="V565" s="25" t="s">
        <v>85</v>
      </c>
      <c r="W565" s="25" t="s">
        <v>85</v>
      </c>
      <c r="X565" s="25" t="s">
        <v>194</v>
      </c>
      <c r="Y565" s="25" t="s">
        <v>2236</v>
      </c>
      <c r="Z565" s="52" t="s">
        <v>604</v>
      </c>
      <c r="AA565" s="25"/>
      <c r="AB565" s="25" t="s">
        <v>2237</v>
      </c>
      <c r="AC565" s="25"/>
      <c r="AD565" s="25">
        <v>15</v>
      </c>
      <c r="AE565" s="25">
        <v>18</v>
      </c>
      <c r="AF565" s="25"/>
      <c r="AG565" s="386"/>
      <c r="AH565" s="386"/>
      <c r="AI565" s="51" t="s">
        <v>256</v>
      </c>
      <c r="AJ565" s="25"/>
      <c r="AK565" s="25"/>
      <c r="AL565" s="386"/>
      <c r="AM565" s="386"/>
      <c r="AN565" s="52" t="s">
        <v>2238</v>
      </c>
      <c r="AO565" s="52" t="s">
        <v>2239</v>
      </c>
      <c r="AP565" s="52" t="s">
        <v>2144</v>
      </c>
      <c r="AQ565" s="52" t="s">
        <v>1380</v>
      </c>
      <c r="AR565" s="53">
        <v>44097</v>
      </c>
      <c r="AS565" s="52" t="s">
        <v>1380</v>
      </c>
      <c r="AT565" s="53">
        <v>44105</v>
      </c>
      <c r="AU565" s="653" t="s">
        <v>37</v>
      </c>
    </row>
    <row r="566" spans="1:47" s="135" customFormat="1" ht="39.75" thickBot="1" x14ac:dyDescent="0.3">
      <c r="A566" s="489"/>
      <c r="B566" s="133"/>
      <c r="C566" s="78"/>
      <c r="D566" s="569"/>
      <c r="E566" s="569"/>
      <c r="F566" s="78"/>
      <c r="G566" s="144"/>
      <c r="H566" s="119"/>
      <c r="I566" s="429"/>
      <c r="J566" s="379" t="s">
        <v>2156</v>
      </c>
      <c r="K566" s="380" t="s">
        <v>5068</v>
      </c>
      <c r="L566" s="327" t="s">
        <v>2156</v>
      </c>
      <c r="M566" s="327"/>
      <c r="N566" s="301" t="s">
        <v>2156</v>
      </c>
      <c r="O566" s="301" t="s">
        <v>2228</v>
      </c>
      <c r="P566" s="379" t="s">
        <v>194</v>
      </c>
      <c r="Q566" s="301"/>
      <c r="R566" s="301"/>
      <c r="S566" s="301"/>
      <c r="T566" s="300" t="s">
        <v>8933</v>
      </c>
      <c r="U566" s="2" t="s">
        <v>16</v>
      </c>
      <c r="V566" s="2" t="s">
        <v>85</v>
      </c>
      <c r="W566" s="2" t="s">
        <v>85</v>
      </c>
      <c r="X566" s="2" t="s">
        <v>194</v>
      </c>
      <c r="Y566" s="2"/>
      <c r="Z566" s="1106"/>
      <c r="AA566" s="530"/>
      <c r="AB566" s="530"/>
      <c r="AC566" s="2"/>
      <c r="AD566" s="2"/>
      <c r="AE566" s="2"/>
      <c r="AF566" s="2"/>
      <c r="AG566" s="352"/>
      <c r="AH566" s="352"/>
      <c r="AI566" s="16"/>
      <c r="AJ566" s="2"/>
      <c r="AK566" s="2"/>
      <c r="AL566" s="352"/>
      <c r="AM566" s="352"/>
      <c r="AN566" s="3" t="s">
        <v>5069</v>
      </c>
      <c r="AO566" s="714"/>
      <c r="AP566" s="3" t="s">
        <v>2144</v>
      </c>
      <c r="AQ566" s="3" t="s">
        <v>1380</v>
      </c>
      <c r="AR566" s="186">
        <v>44098</v>
      </c>
      <c r="AS566" s="3" t="s">
        <v>1380</v>
      </c>
      <c r="AT566" s="186"/>
      <c r="AU566" s="1107"/>
    </row>
    <row r="567" spans="1:47" ht="51.75" x14ac:dyDescent="0.25">
      <c r="A567" s="341" t="s">
        <v>5347</v>
      </c>
      <c r="B567" s="181" t="s">
        <v>5348</v>
      </c>
      <c r="C567" s="125">
        <v>304</v>
      </c>
      <c r="D567" s="585" t="s">
        <v>53</v>
      </c>
      <c r="E567" s="585" t="s">
        <v>52</v>
      </c>
      <c r="F567" s="125" t="s">
        <v>152</v>
      </c>
      <c r="G567" s="125" t="s">
        <v>1972</v>
      </c>
      <c r="H567" s="126" t="s">
        <v>5570</v>
      </c>
      <c r="I567" s="247" t="s">
        <v>5571</v>
      </c>
      <c r="J567" s="189">
        <v>2531</v>
      </c>
      <c r="K567" s="355" t="s">
        <v>5686</v>
      </c>
      <c r="L567" s="911">
        <v>1909912.7675999999</v>
      </c>
      <c r="M567" s="911">
        <v>5638135.3338000001</v>
      </c>
      <c r="N567" s="126"/>
      <c r="O567" s="126">
        <v>0.2</v>
      </c>
      <c r="P567" s="126" t="s">
        <v>5</v>
      </c>
      <c r="Q567" s="126"/>
      <c r="R567" s="126"/>
      <c r="S567" s="126"/>
      <c r="T567" s="344" t="s">
        <v>5784</v>
      </c>
      <c r="U567" s="101" t="s">
        <v>10</v>
      </c>
      <c r="V567" s="31" t="s">
        <v>10</v>
      </c>
      <c r="W567" s="31" t="s">
        <v>16</v>
      </c>
      <c r="X567" s="153" t="s">
        <v>5</v>
      </c>
      <c r="Y567" s="340" t="s">
        <v>5350</v>
      </c>
      <c r="Z567" s="40" t="s">
        <v>5174</v>
      </c>
      <c r="AA567" s="97">
        <v>1</v>
      </c>
      <c r="AB567" s="130" t="s">
        <v>5351</v>
      </c>
      <c r="AC567" s="31">
        <v>4.83</v>
      </c>
      <c r="AD567" s="31"/>
      <c r="AE567" s="31"/>
      <c r="AF567" s="31">
        <v>3.21</v>
      </c>
      <c r="AG567" s="372"/>
      <c r="AH567" s="372"/>
      <c r="AI567" s="30" t="s">
        <v>5352</v>
      </c>
      <c r="AJ567" s="130" t="s">
        <v>3459</v>
      </c>
      <c r="AK567" s="31">
        <v>4</v>
      </c>
      <c r="AL567" s="372">
        <v>3</v>
      </c>
      <c r="AM567" s="372">
        <v>4</v>
      </c>
      <c r="AN567" s="40" t="s">
        <v>5786</v>
      </c>
      <c r="AO567" s="40" t="s">
        <v>5788</v>
      </c>
      <c r="AP567" s="40" t="s">
        <v>5790</v>
      </c>
      <c r="AQ567" s="40" t="s">
        <v>3457</v>
      </c>
      <c r="AR567" s="41">
        <v>44246</v>
      </c>
      <c r="AS567" s="40" t="s">
        <v>3457</v>
      </c>
      <c r="AT567" s="41">
        <v>44270</v>
      </c>
      <c r="AU567" s="652" t="s">
        <v>37</v>
      </c>
    </row>
    <row r="568" spans="1:47" s="438" customFormat="1" ht="39.75" thickBot="1" x14ac:dyDescent="0.3">
      <c r="A568" s="336"/>
      <c r="B568" s="196"/>
      <c r="C568" s="96"/>
      <c r="D568" s="566"/>
      <c r="E568" s="566"/>
      <c r="F568" s="96"/>
      <c r="G568" s="96"/>
      <c r="H568" s="107"/>
      <c r="I568" s="123"/>
      <c r="J568" s="539">
        <v>2533</v>
      </c>
      <c r="K568" s="357" t="s">
        <v>5353</v>
      </c>
      <c r="L568" s="912">
        <v>1935210.8174999999</v>
      </c>
      <c r="M568" s="912">
        <v>5665703.0903000003</v>
      </c>
      <c r="N568" s="107">
        <v>30</v>
      </c>
      <c r="O568" s="107">
        <v>4.5</v>
      </c>
      <c r="P568" s="96" t="s">
        <v>5</v>
      </c>
      <c r="Q568" s="107"/>
      <c r="R568" s="107"/>
      <c r="S568" s="107"/>
      <c r="T568" s="127" t="s">
        <v>5785</v>
      </c>
      <c r="U568" s="104" t="s">
        <v>16</v>
      </c>
      <c r="V568" s="25" t="s">
        <v>16</v>
      </c>
      <c r="W568" s="25" t="s">
        <v>16</v>
      </c>
      <c r="X568" s="25" t="s">
        <v>5</v>
      </c>
      <c r="Y568" s="105" t="s">
        <v>5354</v>
      </c>
      <c r="Z568" s="52" t="s">
        <v>5355</v>
      </c>
      <c r="AA568" s="25">
        <v>2</v>
      </c>
      <c r="AB568" s="335" t="s">
        <v>5356</v>
      </c>
      <c r="AC568" s="25">
        <v>3.21</v>
      </c>
      <c r="AD568" s="25"/>
      <c r="AE568" s="25"/>
      <c r="AF568" s="25">
        <v>3.25</v>
      </c>
      <c r="AG568" s="386"/>
      <c r="AH568" s="386"/>
      <c r="AI568" s="51" t="s">
        <v>1239</v>
      </c>
      <c r="AJ568" s="105" t="s">
        <v>3459</v>
      </c>
      <c r="AK568" s="25">
        <v>4</v>
      </c>
      <c r="AL568" s="386">
        <v>3</v>
      </c>
      <c r="AM568" s="386">
        <v>4</v>
      </c>
      <c r="AN568" s="52" t="s">
        <v>5787</v>
      </c>
      <c r="AO568" s="52" t="s">
        <v>5789</v>
      </c>
      <c r="AP568" s="52" t="s">
        <v>7541</v>
      </c>
      <c r="AQ568" s="52" t="s">
        <v>3457</v>
      </c>
      <c r="AR568" s="53">
        <v>44246</v>
      </c>
      <c r="AS568" s="52" t="s">
        <v>3457</v>
      </c>
      <c r="AT568" s="53">
        <v>44270</v>
      </c>
      <c r="AU568" s="653" t="s">
        <v>37</v>
      </c>
    </row>
    <row r="569" spans="1:47" ht="52.5" thickBot="1" x14ac:dyDescent="0.3">
      <c r="A569" s="1041" t="s">
        <v>1855</v>
      </c>
      <c r="B569" s="589" t="s">
        <v>1855</v>
      </c>
      <c r="C569" s="110">
        <v>37</v>
      </c>
      <c r="D569" s="638" t="s">
        <v>57</v>
      </c>
      <c r="E569" s="638"/>
      <c r="F569" s="110" t="s">
        <v>155</v>
      </c>
      <c r="G569" s="354" t="s">
        <v>1238</v>
      </c>
      <c r="H569" s="296" t="s">
        <v>1874</v>
      </c>
      <c r="I569" s="589" t="s">
        <v>5482</v>
      </c>
      <c r="J569" s="476">
        <v>255</v>
      </c>
      <c r="K569" s="449" t="s">
        <v>1861</v>
      </c>
      <c r="L569" s="951">
        <v>1678150.4284000001</v>
      </c>
      <c r="M569" s="951">
        <v>5626048.1677000001</v>
      </c>
      <c r="N569" s="296"/>
      <c r="O569" s="296" t="s">
        <v>1867</v>
      </c>
      <c r="P569" s="110" t="s">
        <v>194</v>
      </c>
      <c r="Q569" s="1102"/>
      <c r="R569" s="1102"/>
      <c r="S569" s="1102"/>
      <c r="T569" s="295" t="s">
        <v>1874</v>
      </c>
      <c r="U569" s="86" t="s">
        <v>16</v>
      </c>
      <c r="V569" s="86" t="s">
        <v>16</v>
      </c>
      <c r="W569" s="86" t="s">
        <v>16</v>
      </c>
      <c r="X569" s="86" t="s">
        <v>194</v>
      </c>
      <c r="Y569" s="86" t="s">
        <v>1880</v>
      </c>
      <c r="Z569" s="92" t="s">
        <v>1881</v>
      </c>
      <c r="AA569" s="86">
        <v>1</v>
      </c>
      <c r="AB569" s="86">
        <v>28</v>
      </c>
      <c r="AC569" s="86">
        <v>28</v>
      </c>
      <c r="AD569" s="86"/>
      <c r="AE569" s="86"/>
      <c r="AF569" s="86"/>
      <c r="AG569" s="387"/>
      <c r="AH569" s="387"/>
      <c r="AI569" s="94" t="s">
        <v>549</v>
      </c>
      <c r="AJ569" s="106"/>
      <c r="AK569" s="106"/>
      <c r="AL569" s="387"/>
      <c r="AM569" s="387"/>
      <c r="AN569" s="92" t="s">
        <v>1882</v>
      </c>
      <c r="AO569" s="92" t="s">
        <v>6939</v>
      </c>
      <c r="AP569" s="92" t="s">
        <v>1868</v>
      </c>
      <c r="AQ569" s="92" t="s">
        <v>37</v>
      </c>
      <c r="AR569" s="93">
        <v>44103</v>
      </c>
      <c r="AS569" s="92" t="s">
        <v>37</v>
      </c>
      <c r="AT569" s="368"/>
      <c r="AU569" s="1108"/>
    </row>
    <row r="570" spans="1:47" ht="27" thickBot="1" x14ac:dyDescent="0.3">
      <c r="A570" s="345" t="s">
        <v>5225</v>
      </c>
      <c r="B570" s="331" t="s">
        <v>6791</v>
      </c>
      <c r="C570" s="83" t="s">
        <v>2156</v>
      </c>
      <c r="D570" s="588" t="s">
        <v>2156</v>
      </c>
      <c r="E570" s="588" t="s">
        <v>2156</v>
      </c>
      <c r="F570" s="83" t="s">
        <v>2156</v>
      </c>
      <c r="G570" s="1028" t="s">
        <v>2156</v>
      </c>
      <c r="H570" s="199" t="s">
        <v>2156</v>
      </c>
      <c r="I570" s="395" t="s">
        <v>2156</v>
      </c>
      <c r="J570" s="535">
        <v>2318</v>
      </c>
      <c r="K570" s="360" t="s">
        <v>5226</v>
      </c>
      <c r="L570" s="907">
        <v>1834129.0507</v>
      </c>
      <c r="M570" s="907">
        <v>5492326.1108999997</v>
      </c>
      <c r="N570" s="199">
        <v>99</v>
      </c>
      <c r="O570" s="199" t="s">
        <v>5227</v>
      </c>
      <c r="P570" s="199" t="s">
        <v>5</v>
      </c>
      <c r="Q570" s="301"/>
      <c r="R570" s="301"/>
      <c r="S570" s="301"/>
      <c r="T570" s="300" t="s">
        <v>5868</v>
      </c>
      <c r="U570" s="294" t="s">
        <v>16</v>
      </c>
      <c r="V570" s="197" t="s">
        <v>85</v>
      </c>
      <c r="W570" s="86" t="s">
        <v>16</v>
      </c>
      <c r="X570" s="197" t="s">
        <v>61</v>
      </c>
      <c r="Y570" s="307" t="s">
        <v>5229</v>
      </c>
      <c r="Z570" s="92" t="s">
        <v>5174</v>
      </c>
      <c r="AA570" s="197">
        <v>2</v>
      </c>
      <c r="AB570" s="307" t="s">
        <v>5156</v>
      </c>
      <c r="AC570" s="197">
        <v>12</v>
      </c>
      <c r="AD570" s="197"/>
      <c r="AE570" s="197"/>
      <c r="AF570" s="197">
        <v>10</v>
      </c>
      <c r="AG570" s="197"/>
      <c r="AH570" s="197"/>
      <c r="AI570" s="94" t="s">
        <v>256</v>
      </c>
      <c r="AJ570" s="197" t="s">
        <v>3459</v>
      </c>
      <c r="AK570" s="197"/>
      <c r="AL570" s="197"/>
      <c r="AM570" s="197"/>
      <c r="AN570" s="94" t="s">
        <v>5869</v>
      </c>
      <c r="AO570" s="292" t="s">
        <v>5157</v>
      </c>
      <c r="AP570" s="92" t="s">
        <v>1462</v>
      </c>
      <c r="AQ570" s="92" t="s">
        <v>3457</v>
      </c>
      <c r="AR570" s="93">
        <v>44243</v>
      </c>
      <c r="AS570" s="92" t="s">
        <v>3457</v>
      </c>
      <c r="AT570" s="291">
        <v>44271</v>
      </c>
      <c r="AU570" s="290" t="s">
        <v>37</v>
      </c>
    </row>
    <row r="571" spans="1:47" s="478" customFormat="1" ht="51.75" x14ac:dyDescent="0.25">
      <c r="A571" s="341" t="s">
        <v>3543</v>
      </c>
      <c r="B571" s="181" t="s">
        <v>3543</v>
      </c>
      <c r="C571" s="125">
        <v>485</v>
      </c>
      <c r="D571" s="585" t="s">
        <v>52</v>
      </c>
      <c r="E571" s="585"/>
      <c r="F571" s="125" t="s">
        <v>4679</v>
      </c>
      <c r="G571" s="125" t="s">
        <v>1973</v>
      </c>
      <c r="H571" s="126" t="s">
        <v>5306</v>
      </c>
      <c r="I571" s="247" t="s">
        <v>5631</v>
      </c>
      <c r="J571" s="189">
        <v>2126</v>
      </c>
      <c r="K571" s="355" t="s">
        <v>3540</v>
      </c>
      <c r="L571" s="897">
        <v>1824803.6422999999</v>
      </c>
      <c r="M571" s="897">
        <v>5532034.2753999997</v>
      </c>
      <c r="N571" s="126"/>
      <c r="O571" s="126" t="s">
        <v>3499</v>
      </c>
      <c r="P571" s="126" t="s">
        <v>194</v>
      </c>
      <c r="Q571" s="255"/>
      <c r="R571" s="255"/>
      <c r="S571" s="255"/>
      <c r="T571" s="289" t="s">
        <v>3539</v>
      </c>
      <c r="U571" s="288" t="s">
        <v>16</v>
      </c>
      <c r="V571" s="97" t="s">
        <v>16</v>
      </c>
      <c r="W571" s="97" t="s">
        <v>85</v>
      </c>
      <c r="X571" s="97" t="s">
        <v>194</v>
      </c>
      <c r="Y571" s="302" t="s">
        <v>3519</v>
      </c>
      <c r="Z571" s="40" t="s">
        <v>5792</v>
      </c>
      <c r="AA571" s="97">
        <v>1</v>
      </c>
      <c r="AB571" s="302" t="s">
        <v>3538</v>
      </c>
      <c r="AC571" s="97">
        <v>59</v>
      </c>
      <c r="AD571" s="97"/>
      <c r="AE571" s="97"/>
      <c r="AF571" s="97">
        <v>24</v>
      </c>
      <c r="AG571" s="97"/>
      <c r="AH571" s="97"/>
      <c r="AI571" s="30" t="s">
        <v>256</v>
      </c>
      <c r="AJ571" s="97" t="s">
        <v>13</v>
      </c>
      <c r="AK571" s="97"/>
      <c r="AL571" s="97"/>
      <c r="AM571" s="97"/>
      <c r="AN571" s="30" t="s">
        <v>5793</v>
      </c>
      <c r="AO571" s="286" t="s">
        <v>5795</v>
      </c>
      <c r="AP571" s="40" t="s">
        <v>6924</v>
      </c>
      <c r="AQ571" s="40" t="s">
        <v>3457</v>
      </c>
      <c r="AR571" s="41">
        <v>44138</v>
      </c>
      <c r="AS571" s="40" t="s">
        <v>3457</v>
      </c>
      <c r="AT571" s="285">
        <v>44270</v>
      </c>
      <c r="AU571" s="284" t="s">
        <v>37</v>
      </c>
    </row>
    <row r="572" spans="1:47" ht="26.25" x14ac:dyDescent="0.25">
      <c r="A572" s="339"/>
      <c r="B572" s="338"/>
      <c r="C572" s="277"/>
      <c r="D572" s="565"/>
      <c r="E572" s="565"/>
      <c r="F572" s="277"/>
      <c r="G572" s="277"/>
      <c r="H572" s="276"/>
      <c r="I572" s="122"/>
      <c r="J572" s="191">
        <v>2119</v>
      </c>
      <c r="K572" s="356" t="s">
        <v>3537</v>
      </c>
      <c r="L572" s="920">
        <v>1831704.9143000001</v>
      </c>
      <c r="M572" s="920">
        <v>5536819.0670999996</v>
      </c>
      <c r="N572" s="276"/>
      <c r="O572" s="276" t="s">
        <v>3541</v>
      </c>
      <c r="P572" s="276" t="s">
        <v>194</v>
      </c>
      <c r="Q572" s="275"/>
      <c r="R572" s="275"/>
      <c r="S572" s="275"/>
      <c r="T572" s="283" t="s">
        <v>3536</v>
      </c>
      <c r="U572" s="282" t="s">
        <v>10</v>
      </c>
      <c r="V572" s="185" t="s">
        <v>16</v>
      </c>
      <c r="W572" s="185" t="s">
        <v>16</v>
      </c>
      <c r="X572" s="185" t="s">
        <v>194</v>
      </c>
      <c r="Y572" s="304" t="s">
        <v>3542</v>
      </c>
      <c r="Z572" s="3" t="s">
        <v>5791</v>
      </c>
      <c r="AA572" s="185">
        <v>1</v>
      </c>
      <c r="AB572" s="304" t="s">
        <v>3465</v>
      </c>
      <c r="AC572" s="185">
        <v>24</v>
      </c>
      <c r="AD572" s="185"/>
      <c r="AE572" s="185"/>
      <c r="AF572" s="185">
        <v>12</v>
      </c>
      <c r="AG572" s="185"/>
      <c r="AH572" s="185"/>
      <c r="AI572" s="16" t="s">
        <v>256</v>
      </c>
      <c r="AJ572" s="185" t="s">
        <v>13</v>
      </c>
      <c r="AK572" s="185"/>
      <c r="AL572" s="185"/>
      <c r="AM572" s="185"/>
      <c r="AN572" s="16" t="s">
        <v>5794</v>
      </c>
      <c r="AO572" s="280" t="s">
        <v>3525</v>
      </c>
      <c r="AP572" s="3" t="s">
        <v>6923</v>
      </c>
      <c r="AQ572" s="3" t="s">
        <v>3457</v>
      </c>
      <c r="AR572" s="186">
        <v>44138</v>
      </c>
      <c r="AS572" s="3" t="s">
        <v>3457</v>
      </c>
      <c r="AT572" s="279">
        <v>44270</v>
      </c>
      <c r="AU572" s="278" t="s">
        <v>37</v>
      </c>
    </row>
    <row r="573" spans="1:47" s="479" customFormat="1" ht="27" thickBot="1" x14ac:dyDescent="0.3">
      <c r="A573" s="336"/>
      <c r="B573" s="196"/>
      <c r="C573" s="96"/>
      <c r="D573" s="566"/>
      <c r="E573" s="566"/>
      <c r="F573" s="96"/>
      <c r="G573" s="96"/>
      <c r="H573" s="107"/>
      <c r="I573" s="123"/>
      <c r="J573" s="190">
        <v>2120</v>
      </c>
      <c r="K573" s="357" t="s">
        <v>3535</v>
      </c>
      <c r="L573" s="898">
        <v>1834053.1972000001</v>
      </c>
      <c r="M573" s="898">
        <v>5540187.8395999996</v>
      </c>
      <c r="N573" s="107"/>
      <c r="O573" s="107" t="s">
        <v>3499</v>
      </c>
      <c r="P573" s="107" t="s">
        <v>194</v>
      </c>
      <c r="Q573" s="262"/>
      <c r="R573" s="262"/>
      <c r="S573" s="262"/>
      <c r="T573" s="274" t="s">
        <v>3497</v>
      </c>
      <c r="U573" s="273" t="s">
        <v>16</v>
      </c>
      <c r="V573" s="120" t="s">
        <v>16</v>
      </c>
      <c r="W573" s="120" t="s">
        <v>16</v>
      </c>
      <c r="X573" s="120" t="s">
        <v>194</v>
      </c>
      <c r="Y573" s="317" t="s">
        <v>3500</v>
      </c>
      <c r="Z573" s="52" t="s">
        <v>5791</v>
      </c>
      <c r="AA573" s="120">
        <v>1</v>
      </c>
      <c r="AB573" s="317" t="s">
        <v>3465</v>
      </c>
      <c r="AC573" s="120">
        <v>24</v>
      </c>
      <c r="AD573" s="120"/>
      <c r="AE573" s="120"/>
      <c r="AF573" s="120">
        <v>12</v>
      </c>
      <c r="AG573" s="120"/>
      <c r="AH573" s="120"/>
      <c r="AI573" s="51" t="s">
        <v>256</v>
      </c>
      <c r="AJ573" s="120" t="s">
        <v>13</v>
      </c>
      <c r="AK573" s="120"/>
      <c r="AL573" s="120"/>
      <c r="AM573" s="120"/>
      <c r="AN573" s="51" t="s">
        <v>5794</v>
      </c>
      <c r="AO573" s="271" t="s">
        <v>3525</v>
      </c>
      <c r="AP573" s="52" t="s">
        <v>6923</v>
      </c>
      <c r="AQ573" s="52" t="s">
        <v>3457</v>
      </c>
      <c r="AR573" s="53">
        <v>44138</v>
      </c>
      <c r="AS573" s="52" t="s">
        <v>3457</v>
      </c>
      <c r="AT573" s="270">
        <v>44270</v>
      </c>
      <c r="AU573" s="269" t="s">
        <v>37</v>
      </c>
    </row>
    <row r="574" spans="1:47" s="135" customFormat="1" ht="39.75" thickBot="1" x14ac:dyDescent="0.3">
      <c r="A574" s="345" t="s">
        <v>3283</v>
      </c>
      <c r="B574" s="331" t="s">
        <v>3283</v>
      </c>
      <c r="C574" s="83">
        <v>7</v>
      </c>
      <c r="D574" s="588" t="s">
        <v>57</v>
      </c>
      <c r="E574" s="588"/>
      <c r="F574" s="83" t="s">
        <v>1553</v>
      </c>
      <c r="G574" s="268" t="s">
        <v>1238</v>
      </c>
      <c r="H574" s="199" t="s">
        <v>3298</v>
      </c>
      <c r="I574" s="624" t="s">
        <v>5490</v>
      </c>
      <c r="J574" s="87">
        <v>497</v>
      </c>
      <c r="K574" s="360" t="s">
        <v>3294</v>
      </c>
      <c r="L574" s="198">
        <v>1778747.5201000001</v>
      </c>
      <c r="M574" s="198">
        <v>5878251.9957999997</v>
      </c>
      <c r="N574" s="199"/>
      <c r="O574" s="199" t="s">
        <v>3298</v>
      </c>
      <c r="P574" s="199" t="s">
        <v>193</v>
      </c>
      <c r="Q574" s="199"/>
      <c r="R574" s="199"/>
      <c r="S574" s="199"/>
      <c r="T574" s="332" t="s">
        <v>3298</v>
      </c>
      <c r="U574" s="206" t="s">
        <v>16</v>
      </c>
      <c r="V574" s="204" t="s">
        <v>16</v>
      </c>
      <c r="W574" s="204" t="s">
        <v>16</v>
      </c>
      <c r="X574" s="176" t="s">
        <v>194</v>
      </c>
      <c r="Y574" s="204" t="s">
        <v>3295</v>
      </c>
      <c r="Z574" s="208" t="s">
        <v>1908</v>
      </c>
      <c r="AA574" s="176">
        <v>1</v>
      </c>
      <c r="AB574" s="176" t="s">
        <v>3296</v>
      </c>
      <c r="AC574" s="204"/>
      <c r="AD574" s="204">
        <v>900</v>
      </c>
      <c r="AE574" s="204">
        <v>1200</v>
      </c>
      <c r="AF574" s="204"/>
      <c r="AG574" s="204"/>
      <c r="AH574" s="204"/>
      <c r="AI574" s="207" t="s">
        <v>256</v>
      </c>
      <c r="AJ574" s="205"/>
      <c r="AK574" s="205"/>
      <c r="AL574" s="353"/>
      <c r="AM574" s="353"/>
      <c r="AN574" s="207" t="s">
        <v>3292</v>
      </c>
      <c r="AO574" s="207" t="s">
        <v>3293</v>
      </c>
      <c r="AP574" s="374" t="s">
        <v>3297</v>
      </c>
      <c r="AQ574" s="374" t="s">
        <v>37</v>
      </c>
      <c r="AR574" s="377">
        <v>44140</v>
      </c>
      <c r="AS574" s="374" t="s">
        <v>37</v>
      </c>
      <c r="AT574" s="364"/>
      <c r="AU574" s="1109"/>
    </row>
    <row r="575" spans="1:47" s="402" customFormat="1" ht="51.75" x14ac:dyDescent="0.25">
      <c r="A575" s="341" t="s">
        <v>3470</v>
      </c>
      <c r="B575" s="181" t="s">
        <v>3470</v>
      </c>
      <c r="C575" s="125">
        <v>496</v>
      </c>
      <c r="D575" s="585" t="s">
        <v>52</v>
      </c>
      <c r="E575" s="585"/>
      <c r="F575" s="125" t="s">
        <v>4679</v>
      </c>
      <c r="G575" s="125" t="s">
        <v>1973</v>
      </c>
      <c r="H575" s="126" t="s">
        <v>5597</v>
      </c>
      <c r="I575" s="247" t="s">
        <v>5631</v>
      </c>
      <c r="J575" s="189">
        <v>2100</v>
      </c>
      <c r="K575" s="355" t="s">
        <v>3469</v>
      </c>
      <c r="L575" s="911">
        <v>1788360.4029999999</v>
      </c>
      <c r="M575" s="911">
        <v>5499125.5811000001</v>
      </c>
      <c r="N575" s="181"/>
      <c r="O575" s="465" t="s">
        <v>3468</v>
      </c>
      <c r="P575" s="125" t="s">
        <v>194</v>
      </c>
      <c r="Q575" s="181"/>
      <c r="R575" s="181"/>
      <c r="S575" s="181"/>
      <c r="T575" s="344" t="s">
        <v>3467</v>
      </c>
      <c r="U575" s="101" t="s">
        <v>10</v>
      </c>
      <c r="V575" s="31" t="s">
        <v>85</v>
      </c>
      <c r="W575" s="31" t="s">
        <v>16</v>
      </c>
      <c r="X575" s="97" t="s">
        <v>194</v>
      </c>
      <c r="Y575" s="130" t="s">
        <v>3466</v>
      </c>
      <c r="Z575" s="40" t="s">
        <v>3461</v>
      </c>
      <c r="AA575" s="97">
        <v>1</v>
      </c>
      <c r="AB575" s="130" t="s">
        <v>3465</v>
      </c>
      <c r="AC575" s="31">
        <v>24</v>
      </c>
      <c r="AD575" s="31"/>
      <c r="AE575" s="31"/>
      <c r="AF575" s="31">
        <v>12</v>
      </c>
      <c r="AG575" s="372"/>
      <c r="AH575" s="372"/>
      <c r="AI575" s="30" t="s">
        <v>256</v>
      </c>
      <c r="AJ575" s="130" t="s">
        <v>13</v>
      </c>
      <c r="AK575" s="31"/>
      <c r="AL575" s="372"/>
      <c r="AM575" s="372"/>
      <c r="AN575" s="40" t="s">
        <v>6940</v>
      </c>
      <c r="AO575" s="30" t="s">
        <v>3464</v>
      </c>
      <c r="AP575" s="40" t="s">
        <v>6924</v>
      </c>
      <c r="AQ575" s="40" t="s">
        <v>3457</v>
      </c>
      <c r="AR575" s="41">
        <v>44131</v>
      </c>
      <c r="AS575" s="40" t="s">
        <v>3457</v>
      </c>
      <c r="AT575" s="41">
        <v>44270</v>
      </c>
      <c r="AU575" s="652" t="s">
        <v>37</v>
      </c>
    </row>
    <row r="576" spans="1:47" s="402" customFormat="1" ht="39.75" thickBot="1" x14ac:dyDescent="0.3">
      <c r="A576" s="336"/>
      <c r="B576" s="196"/>
      <c r="C576" s="96"/>
      <c r="D576" s="566"/>
      <c r="E576" s="566"/>
      <c r="F576" s="96"/>
      <c r="G576" s="96"/>
      <c r="H576" s="107"/>
      <c r="I576" s="123"/>
      <c r="J576" s="190">
        <v>2101</v>
      </c>
      <c r="K576" s="357" t="s">
        <v>3463</v>
      </c>
      <c r="L576" s="912">
        <v>1789060.3215999999</v>
      </c>
      <c r="M576" s="912">
        <v>5500160.0564000001</v>
      </c>
      <c r="N576" s="107"/>
      <c r="O576" s="466" t="s">
        <v>3471</v>
      </c>
      <c r="P576" s="107" t="s">
        <v>194</v>
      </c>
      <c r="Q576" s="107"/>
      <c r="R576" s="107"/>
      <c r="S576" s="107"/>
      <c r="T576" s="127" t="s">
        <v>3462</v>
      </c>
      <c r="U576" s="104" t="s">
        <v>10</v>
      </c>
      <c r="V576" s="25" t="s">
        <v>85</v>
      </c>
      <c r="W576" s="25" t="s">
        <v>16</v>
      </c>
      <c r="X576" s="120" t="s">
        <v>194</v>
      </c>
      <c r="Y576" s="335" t="s">
        <v>1838</v>
      </c>
      <c r="Z576" s="52" t="s">
        <v>3461</v>
      </c>
      <c r="AA576" s="120">
        <v>1</v>
      </c>
      <c r="AB576" s="105" t="s">
        <v>3460</v>
      </c>
      <c r="AC576" s="25">
        <v>12</v>
      </c>
      <c r="AD576" s="25"/>
      <c r="AE576" s="25"/>
      <c r="AF576" s="25">
        <v>7</v>
      </c>
      <c r="AG576" s="386"/>
      <c r="AH576" s="386"/>
      <c r="AI576" s="51" t="s">
        <v>256</v>
      </c>
      <c r="AJ576" s="105" t="s">
        <v>3459</v>
      </c>
      <c r="AK576" s="25"/>
      <c r="AL576" s="386"/>
      <c r="AM576" s="386"/>
      <c r="AN576" s="52" t="s">
        <v>6941</v>
      </c>
      <c r="AO576" s="52" t="s">
        <v>3458</v>
      </c>
      <c r="AP576" s="52" t="s">
        <v>6924</v>
      </c>
      <c r="AQ576" s="52" t="s">
        <v>3457</v>
      </c>
      <c r="AR576" s="53">
        <v>44131</v>
      </c>
      <c r="AS576" s="52" t="s">
        <v>3457</v>
      </c>
      <c r="AT576" s="53">
        <v>44270</v>
      </c>
      <c r="AU576" s="653" t="s">
        <v>37</v>
      </c>
    </row>
    <row r="577" spans="1:47" s="135" customFormat="1" ht="39.75" thickBot="1" x14ac:dyDescent="0.3">
      <c r="A577" s="345" t="s">
        <v>878</v>
      </c>
      <c r="B577" s="331" t="s">
        <v>5507</v>
      </c>
      <c r="C577" s="83">
        <v>681</v>
      </c>
      <c r="D577" s="588" t="s">
        <v>53</v>
      </c>
      <c r="E577" s="588" t="s">
        <v>52</v>
      </c>
      <c r="F577" s="83" t="s">
        <v>5508</v>
      </c>
      <c r="G577" s="268" t="s">
        <v>1972</v>
      </c>
      <c r="H577" s="199" t="s">
        <v>1210</v>
      </c>
      <c r="I577" s="395" t="s">
        <v>5510</v>
      </c>
      <c r="J577" s="482">
        <v>151</v>
      </c>
      <c r="K577" s="380" t="s">
        <v>880</v>
      </c>
      <c r="L577" s="327">
        <v>1482126.8303</v>
      </c>
      <c r="M577" s="327">
        <v>5198458.1365</v>
      </c>
      <c r="N577" s="301"/>
      <c r="O577" s="301" t="s">
        <v>881</v>
      </c>
      <c r="P577" s="301" t="s">
        <v>5</v>
      </c>
      <c r="Q577" s="301"/>
      <c r="R577" s="301"/>
      <c r="S577" s="301"/>
      <c r="T577" s="300" t="s">
        <v>1210</v>
      </c>
      <c r="U577" s="206" t="s">
        <v>16</v>
      </c>
      <c r="V577" s="204" t="s">
        <v>16</v>
      </c>
      <c r="W577" s="204" t="s">
        <v>16</v>
      </c>
      <c r="X577" s="176" t="s">
        <v>61</v>
      </c>
      <c r="Y577" s="176" t="s">
        <v>882</v>
      </c>
      <c r="Z577" s="208" t="s">
        <v>883</v>
      </c>
      <c r="AA577" s="176" t="s">
        <v>419</v>
      </c>
      <c r="AB577" s="243" t="s">
        <v>885</v>
      </c>
      <c r="AC577" s="204"/>
      <c r="AD577" s="204">
        <v>10</v>
      </c>
      <c r="AE577" s="204">
        <v>14</v>
      </c>
      <c r="AF577" s="204"/>
      <c r="AG577" s="204"/>
      <c r="AH577" s="204"/>
      <c r="AI577" s="207" t="s">
        <v>256</v>
      </c>
      <c r="AJ577" s="205"/>
      <c r="AK577" s="205"/>
      <c r="AL577" s="353"/>
      <c r="AM577" s="353"/>
      <c r="AN577" s="207" t="s">
        <v>887</v>
      </c>
      <c r="AO577" s="207" t="s">
        <v>886</v>
      </c>
      <c r="AP577" s="208" t="s">
        <v>884</v>
      </c>
      <c r="AQ577" s="208" t="s">
        <v>37</v>
      </c>
      <c r="AR577" s="209">
        <v>44075</v>
      </c>
      <c r="AS577" s="208" t="s">
        <v>37</v>
      </c>
      <c r="AT577" s="364"/>
      <c r="AU577" s="1109"/>
    </row>
    <row r="578" spans="1:47" s="135" customFormat="1" ht="27" thickBot="1" x14ac:dyDescent="0.3">
      <c r="A578" s="341" t="s">
        <v>878</v>
      </c>
      <c r="B578" s="181" t="s">
        <v>878</v>
      </c>
      <c r="C578" s="125">
        <v>680</v>
      </c>
      <c r="D578" s="585" t="s">
        <v>53</v>
      </c>
      <c r="E578" s="585" t="s">
        <v>52</v>
      </c>
      <c r="F578" s="125" t="s">
        <v>2083</v>
      </c>
      <c r="G578" s="145" t="s">
        <v>1972</v>
      </c>
      <c r="H578" s="126" t="s">
        <v>5509</v>
      </c>
      <c r="I578" s="247" t="s">
        <v>150</v>
      </c>
      <c r="J578" s="252">
        <v>152</v>
      </c>
      <c r="K578" s="253" t="s">
        <v>888</v>
      </c>
      <c r="L578" s="952">
        <v>1496221.1336000001</v>
      </c>
      <c r="M578" s="952">
        <v>5205478.8406999996</v>
      </c>
      <c r="N578" s="255"/>
      <c r="O578" s="255" t="s">
        <v>890</v>
      </c>
      <c r="P578" s="255" t="s">
        <v>5</v>
      </c>
      <c r="Q578" s="255"/>
      <c r="R578" s="255"/>
      <c r="S578" s="255"/>
      <c r="T578" s="289" t="s">
        <v>5796</v>
      </c>
      <c r="U578" s="206" t="s">
        <v>16</v>
      </c>
      <c r="V578" s="204" t="s">
        <v>16</v>
      </c>
      <c r="W578" s="204" t="s">
        <v>16</v>
      </c>
      <c r="X578" s="176" t="s">
        <v>5</v>
      </c>
      <c r="Y578" s="204" t="s">
        <v>889</v>
      </c>
      <c r="Z578" s="208" t="s">
        <v>891</v>
      </c>
      <c r="AA578" s="176">
        <v>1</v>
      </c>
      <c r="AB578" s="176">
        <v>9</v>
      </c>
      <c r="AC578" s="204">
        <v>9</v>
      </c>
      <c r="AD578" s="204"/>
      <c r="AE578" s="204"/>
      <c r="AF578" s="204"/>
      <c r="AG578" s="204"/>
      <c r="AH578" s="204"/>
      <c r="AI578" s="207" t="s">
        <v>549</v>
      </c>
      <c r="AJ578" s="205"/>
      <c r="AK578" s="205"/>
      <c r="AL578" s="353"/>
      <c r="AM578" s="353"/>
      <c r="AN578" s="207" t="s">
        <v>5797</v>
      </c>
      <c r="AO578" s="207" t="s">
        <v>893</v>
      </c>
      <c r="AP578" s="208" t="s">
        <v>884</v>
      </c>
      <c r="AQ578" s="208" t="s">
        <v>37</v>
      </c>
      <c r="AR578" s="209">
        <v>44270</v>
      </c>
      <c r="AS578" s="208" t="s">
        <v>37</v>
      </c>
      <c r="AT578" s="364"/>
      <c r="AU578" s="1109"/>
    </row>
    <row r="579" spans="1:47" s="135" customFormat="1" ht="26.25" x14ac:dyDescent="0.25">
      <c r="A579" s="339"/>
      <c r="B579" s="116"/>
      <c r="C579" s="95"/>
      <c r="D579" s="567"/>
      <c r="E579" s="567"/>
      <c r="F579" s="95"/>
      <c r="G579" s="146"/>
      <c r="H579" s="108"/>
      <c r="I579" s="122"/>
      <c r="J579" s="257">
        <v>153</v>
      </c>
      <c r="K579" s="462" t="s">
        <v>897</v>
      </c>
      <c r="L579" s="953">
        <v>1487774.7653999999</v>
      </c>
      <c r="M579" s="953">
        <v>5201134.4011000004</v>
      </c>
      <c r="N579" s="259"/>
      <c r="O579" s="259" t="s">
        <v>894</v>
      </c>
      <c r="P579" s="259" t="s">
        <v>61</v>
      </c>
      <c r="Q579" s="259"/>
      <c r="R579" s="259"/>
      <c r="S579" s="259"/>
      <c r="T579" s="283" t="s">
        <v>4707</v>
      </c>
      <c r="U579" s="138" t="s">
        <v>16</v>
      </c>
      <c r="V579" s="136" t="s">
        <v>16</v>
      </c>
      <c r="W579" s="136" t="s">
        <v>16</v>
      </c>
      <c r="X579" s="132" t="s">
        <v>61</v>
      </c>
      <c r="Y579" s="132" t="s">
        <v>900</v>
      </c>
      <c r="Z579" s="137" t="s">
        <v>407</v>
      </c>
      <c r="AA579" s="132" t="s">
        <v>419</v>
      </c>
      <c r="AB579" s="132" t="s">
        <v>404</v>
      </c>
      <c r="AC579" s="136">
        <v>5.46</v>
      </c>
      <c r="AD579" s="136">
        <v>4.6900000000000004</v>
      </c>
      <c r="AE579" s="136">
        <v>6.23</v>
      </c>
      <c r="AF579" s="136"/>
      <c r="AG579" s="136"/>
      <c r="AH579" s="136"/>
      <c r="AI579" s="180" t="s">
        <v>376</v>
      </c>
      <c r="AJ579" s="173"/>
      <c r="AK579" s="173"/>
      <c r="AL579" s="350"/>
      <c r="AM579" s="350"/>
      <c r="AN579" s="45" t="s">
        <v>384</v>
      </c>
      <c r="AO579" s="45" t="s">
        <v>660</v>
      </c>
      <c r="AP579" s="137" t="s">
        <v>738</v>
      </c>
      <c r="AQ579" s="137" t="s">
        <v>37</v>
      </c>
      <c r="AR579" s="139">
        <v>44076</v>
      </c>
      <c r="AS579" s="137" t="s">
        <v>37</v>
      </c>
      <c r="AT579" s="358"/>
      <c r="AU579" s="1110"/>
    </row>
    <row r="580" spans="1:47" s="135" customFormat="1" ht="26.25" x14ac:dyDescent="0.25">
      <c r="A580" s="339"/>
      <c r="B580" s="116"/>
      <c r="C580" s="95"/>
      <c r="D580" s="567"/>
      <c r="E580" s="567"/>
      <c r="F580" s="95"/>
      <c r="G580" s="146"/>
      <c r="H580" s="108"/>
      <c r="I580" s="122"/>
      <c r="J580" s="257">
        <v>154</v>
      </c>
      <c r="K580" s="462" t="s">
        <v>898</v>
      </c>
      <c r="L580" s="953">
        <v>1487955.7408</v>
      </c>
      <c r="M580" s="953">
        <v>5201231.7680000002</v>
      </c>
      <c r="N580" s="259"/>
      <c r="O580" s="259" t="s">
        <v>895</v>
      </c>
      <c r="P580" s="259" t="s">
        <v>61</v>
      </c>
      <c r="Q580" s="259"/>
      <c r="R580" s="259"/>
      <c r="S580" s="259"/>
      <c r="T580" s="283" t="s">
        <v>4708</v>
      </c>
      <c r="U580" s="138" t="s">
        <v>16</v>
      </c>
      <c r="V580" s="136" t="s">
        <v>16</v>
      </c>
      <c r="W580" s="136" t="s">
        <v>16</v>
      </c>
      <c r="X580" s="132" t="s">
        <v>61</v>
      </c>
      <c r="Y580" s="132" t="s">
        <v>901</v>
      </c>
      <c r="Z580" s="137" t="s">
        <v>407</v>
      </c>
      <c r="AA580" s="132" t="s">
        <v>419</v>
      </c>
      <c r="AB580" s="132" t="s">
        <v>903</v>
      </c>
      <c r="AC580" s="136">
        <v>3.41</v>
      </c>
      <c r="AD580" s="136">
        <v>2.17</v>
      </c>
      <c r="AE580" s="136">
        <v>4.6500000000000004</v>
      </c>
      <c r="AF580" s="136"/>
      <c r="AG580" s="136"/>
      <c r="AH580" s="136"/>
      <c r="AI580" s="180" t="s">
        <v>376</v>
      </c>
      <c r="AJ580" s="173"/>
      <c r="AK580" s="173"/>
      <c r="AL580" s="350"/>
      <c r="AM580" s="350"/>
      <c r="AN580" s="45" t="s">
        <v>384</v>
      </c>
      <c r="AO580" s="45" t="s">
        <v>660</v>
      </c>
      <c r="AP580" s="137" t="s">
        <v>738</v>
      </c>
      <c r="AQ580" s="137" t="s">
        <v>37</v>
      </c>
      <c r="AR580" s="139">
        <v>44076</v>
      </c>
      <c r="AS580" s="137" t="s">
        <v>37</v>
      </c>
      <c r="AT580" s="358"/>
      <c r="AU580" s="1110"/>
    </row>
    <row r="581" spans="1:47" s="135" customFormat="1" ht="27" thickBot="1" x14ac:dyDescent="0.3">
      <c r="A581" s="336"/>
      <c r="B581" s="196"/>
      <c r="C581" s="96"/>
      <c r="D581" s="566"/>
      <c r="E581" s="566"/>
      <c r="F581" s="96"/>
      <c r="G581" s="147"/>
      <c r="H581" s="107"/>
      <c r="I581" s="123"/>
      <c r="J581" s="260">
        <v>155</v>
      </c>
      <c r="K581" s="363" t="s">
        <v>899</v>
      </c>
      <c r="L581" s="954">
        <v>1487992.7825</v>
      </c>
      <c r="M581" s="954">
        <v>5201262.4596999995</v>
      </c>
      <c r="N581" s="262"/>
      <c r="O581" s="262" t="s">
        <v>896</v>
      </c>
      <c r="P581" s="262" t="s">
        <v>61</v>
      </c>
      <c r="Q581" s="262"/>
      <c r="R581" s="262"/>
      <c r="S581" s="262"/>
      <c r="T581" s="274" t="s">
        <v>4709</v>
      </c>
      <c r="U581" s="171" t="s">
        <v>16</v>
      </c>
      <c r="V581" s="154" t="s">
        <v>16</v>
      </c>
      <c r="W581" s="154" t="s">
        <v>16</v>
      </c>
      <c r="X581" s="156" t="s">
        <v>61</v>
      </c>
      <c r="Y581" s="156" t="s">
        <v>902</v>
      </c>
      <c r="Z581" s="155" t="s">
        <v>407</v>
      </c>
      <c r="AA581" s="156" t="s">
        <v>419</v>
      </c>
      <c r="AB581" s="156" t="s">
        <v>904</v>
      </c>
      <c r="AC581" s="154">
        <v>3.17</v>
      </c>
      <c r="AD581" s="154">
        <v>2.81</v>
      </c>
      <c r="AE581" s="154">
        <v>3.53</v>
      </c>
      <c r="AF581" s="154"/>
      <c r="AG581" s="154"/>
      <c r="AH581" s="154"/>
      <c r="AI581" s="183" t="s">
        <v>376</v>
      </c>
      <c r="AJ581" s="201"/>
      <c r="AK581" s="201"/>
      <c r="AL581" s="443"/>
      <c r="AM581" s="443"/>
      <c r="AN581" s="51" t="s">
        <v>384</v>
      </c>
      <c r="AO581" s="51" t="s">
        <v>660</v>
      </c>
      <c r="AP581" s="155" t="s">
        <v>738</v>
      </c>
      <c r="AQ581" s="155" t="s">
        <v>37</v>
      </c>
      <c r="AR581" s="172">
        <v>44076</v>
      </c>
      <c r="AS581" s="155" t="s">
        <v>37</v>
      </c>
      <c r="AT581" s="362"/>
      <c r="AU581" s="1111"/>
    </row>
    <row r="582" spans="1:47" ht="65.25" thickBot="1" x14ac:dyDescent="0.3">
      <c r="A582" s="807" t="s">
        <v>5283</v>
      </c>
      <c r="B582" s="349" t="s">
        <v>5194</v>
      </c>
      <c r="C582" s="157">
        <v>379</v>
      </c>
      <c r="D582" s="592" t="s">
        <v>53</v>
      </c>
      <c r="E582" s="592" t="s">
        <v>52</v>
      </c>
      <c r="F582" s="157" t="s">
        <v>4679</v>
      </c>
      <c r="G582" s="157" t="s">
        <v>5195</v>
      </c>
      <c r="H582" s="159" t="s">
        <v>5064</v>
      </c>
      <c r="I582" s="450" t="s">
        <v>5592</v>
      </c>
      <c r="J582" s="248">
        <v>2555</v>
      </c>
      <c r="K582" s="472" t="s">
        <v>5284</v>
      </c>
      <c r="L582" s="934">
        <v>1916588.557</v>
      </c>
      <c r="M582" s="934">
        <v>5588916.9296000004</v>
      </c>
      <c r="N582" s="426">
        <v>45</v>
      </c>
      <c r="O582" s="426" t="s">
        <v>5285</v>
      </c>
      <c r="P582" s="248" t="s">
        <v>194</v>
      </c>
      <c r="Q582" s="426"/>
      <c r="R582" s="426"/>
      <c r="S582" s="426"/>
      <c r="T582" s="481" t="s">
        <v>2261</v>
      </c>
      <c r="U582" s="85" t="s">
        <v>16</v>
      </c>
      <c r="V582" s="86" t="s">
        <v>10</v>
      </c>
      <c r="W582" s="86" t="s">
        <v>16</v>
      </c>
      <c r="X582" s="86" t="s">
        <v>194</v>
      </c>
      <c r="Y582" s="106" t="s">
        <v>5286</v>
      </c>
      <c r="Z582" s="92" t="s">
        <v>6992</v>
      </c>
      <c r="AA582" s="86">
        <v>2</v>
      </c>
      <c r="AB582" s="329" t="s">
        <v>5287</v>
      </c>
      <c r="AC582" s="86">
        <v>6.6</v>
      </c>
      <c r="AD582" s="86"/>
      <c r="AE582" s="86"/>
      <c r="AF582" s="86">
        <v>6.2</v>
      </c>
      <c r="AG582" s="387"/>
      <c r="AH582" s="387"/>
      <c r="AI582" s="94" t="s">
        <v>5288</v>
      </c>
      <c r="AJ582" s="86" t="s">
        <v>3459</v>
      </c>
      <c r="AK582" s="86"/>
      <c r="AL582" s="387"/>
      <c r="AM582" s="387"/>
      <c r="AN582" s="92" t="s">
        <v>5798</v>
      </c>
      <c r="AO582" s="92" t="s">
        <v>5799</v>
      </c>
      <c r="AP582" s="92" t="s">
        <v>1462</v>
      </c>
      <c r="AQ582" s="92" t="s">
        <v>3457</v>
      </c>
      <c r="AR582" s="93">
        <v>44245</v>
      </c>
      <c r="AS582" s="92" t="s">
        <v>3457</v>
      </c>
      <c r="AT582" s="93">
        <v>44270</v>
      </c>
      <c r="AU582" s="1108" t="s">
        <v>37</v>
      </c>
    </row>
    <row r="583" spans="1:47" s="518" customFormat="1" ht="26.25" x14ac:dyDescent="0.25">
      <c r="A583" s="808"/>
      <c r="B583" s="550"/>
      <c r="C583" s="161"/>
      <c r="D583" s="573"/>
      <c r="E583" s="573"/>
      <c r="F583" s="161"/>
      <c r="G583" s="162"/>
      <c r="H583" s="163"/>
      <c r="I583" s="423"/>
      <c r="J583" s="193">
        <v>2450</v>
      </c>
      <c r="K583" s="433" t="s">
        <v>5659</v>
      </c>
      <c r="L583" s="924">
        <v>1910035.5267</v>
      </c>
      <c r="M583" s="924">
        <v>5577525.1645</v>
      </c>
      <c r="N583" s="159"/>
      <c r="O583" s="159" t="s">
        <v>6322</v>
      </c>
      <c r="P583" s="159" t="s">
        <v>194</v>
      </c>
      <c r="Q583" s="1103"/>
      <c r="R583" s="1103"/>
      <c r="S583" s="1103"/>
      <c r="T583" s="480" t="s">
        <v>2676</v>
      </c>
      <c r="U583" s="169" t="s">
        <v>10</v>
      </c>
      <c r="V583" s="151" t="s">
        <v>10</v>
      </c>
      <c r="W583" s="151" t="s">
        <v>10</v>
      </c>
      <c r="X583" s="153" t="s">
        <v>194</v>
      </c>
      <c r="Y583" s="39" t="s">
        <v>6332</v>
      </c>
      <c r="Z583" s="203" t="s">
        <v>604</v>
      </c>
      <c r="AA583" s="153">
        <v>2</v>
      </c>
      <c r="AB583" s="39" t="s">
        <v>5320</v>
      </c>
      <c r="AC583" s="151">
        <v>15</v>
      </c>
      <c r="AD583" s="151"/>
      <c r="AE583" s="151"/>
      <c r="AF583" s="151">
        <v>12</v>
      </c>
      <c r="AG583" s="151"/>
      <c r="AH583" s="151"/>
      <c r="AI583" s="203" t="s">
        <v>23</v>
      </c>
      <c r="AJ583" s="202" t="s">
        <v>13</v>
      </c>
      <c r="AK583" s="202"/>
      <c r="AL583" s="442"/>
      <c r="AM583" s="442"/>
      <c r="AN583" s="203" t="s">
        <v>6337</v>
      </c>
      <c r="AO583" s="203" t="s">
        <v>6326</v>
      </c>
      <c r="AP583" s="152" t="s">
        <v>7020</v>
      </c>
      <c r="AQ583" s="152" t="s">
        <v>3457</v>
      </c>
      <c r="AR583" s="170">
        <v>44320</v>
      </c>
      <c r="AS583" s="152" t="s">
        <v>3457</v>
      </c>
      <c r="AT583" s="170">
        <v>44321</v>
      </c>
      <c r="AU583" s="1112" t="s">
        <v>37</v>
      </c>
    </row>
    <row r="584" spans="1:47" s="546" customFormat="1" ht="26.25" x14ac:dyDescent="0.25">
      <c r="A584" s="808"/>
      <c r="B584" s="550"/>
      <c r="C584" s="161"/>
      <c r="D584" s="573"/>
      <c r="E584" s="573"/>
      <c r="F584" s="161"/>
      <c r="G584" s="162"/>
      <c r="H584" s="163"/>
      <c r="I584" s="423"/>
      <c r="J584" s="194">
        <v>2451</v>
      </c>
      <c r="K584" s="434" t="s">
        <v>5660</v>
      </c>
      <c r="L584" s="919">
        <v>1908794.1724</v>
      </c>
      <c r="M584" s="919">
        <v>5577434.4314000001</v>
      </c>
      <c r="N584" s="163"/>
      <c r="O584" s="583" t="s">
        <v>1459</v>
      </c>
      <c r="P584" s="583" t="s">
        <v>194</v>
      </c>
      <c r="Q584" s="437"/>
      <c r="R584" s="437"/>
      <c r="S584" s="437"/>
      <c r="T584" s="175" t="s">
        <v>6335</v>
      </c>
      <c r="U584" s="138" t="s">
        <v>10</v>
      </c>
      <c r="V584" s="6" t="s">
        <v>10</v>
      </c>
      <c r="W584" s="6" t="s">
        <v>10</v>
      </c>
      <c r="X584" s="617" t="s">
        <v>194</v>
      </c>
      <c r="Y584" s="33" t="s">
        <v>1317</v>
      </c>
      <c r="Z584" s="444" t="s">
        <v>638</v>
      </c>
      <c r="AA584" s="617">
        <v>2</v>
      </c>
      <c r="AB584" s="33" t="s">
        <v>5320</v>
      </c>
      <c r="AC584" s="6">
        <v>15</v>
      </c>
      <c r="AD584" s="6"/>
      <c r="AE584" s="6"/>
      <c r="AF584" s="6">
        <v>12</v>
      </c>
      <c r="AG584" s="6"/>
      <c r="AH584" s="6"/>
      <c r="AI584" s="444" t="s">
        <v>256</v>
      </c>
      <c r="AJ584" s="150" t="s">
        <v>13</v>
      </c>
      <c r="AK584" s="150"/>
      <c r="AL584" s="616"/>
      <c r="AM584" s="616"/>
      <c r="AN584" s="444" t="s">
        <v>6337</v>
      </c>
      <c r="AO584" s="444" t="s">
        <v>6327</v>
      </c>
      <c r="AP584" s="445" t="s">
        <v>6328</v>
      </c>
      <c r="AQ584" s="445" t="s">
        <v>3457</v>
      </c>
      <c r="AR584" s="618">
        <v>44320</v>
      </c>
      <c r="AS584" s="445" t="s">
        <v>3457</v>
      </c>
      <c r="AT584" s="618">
        <v>44321</v>
      </c>
      <c r="AU584" s="1110" t="s">
        <v>37</v>
      </c>
    </row>
    <row r="585" spans="1:47" s="546" customFormat="1" ht="26.25" x14ac:dyDescent="0.25">
      <c r="A585" s="808"/>
      <c r="B585" s="550"/>
      <c r="C585" s="161"/>
      <c r="D585" s="573"/>
      <c r="E585" s="573"/>
      <c r="F585" s="161"/>
      <c r="G585" s="162"/>
      <c r="H585" s="163"/>
      <c r="I585" s="423"/>
      <c r="J585" s="194">
        <v>2452</v>
      </c>
      <c r="K585" s="434" t="s">
        <v>5661</v>
      </c>
      <c r="L585" s="919">
        <v>1908570.3245999999</v>
      </c>
      <c r="M585" s="919">
        <v>5571902.0039999997</v>
      </c>
      <c r="N585" s="163"/>
      <c r="O585" s="583" t="s">
        <v>6323</v>
      </c>
      <c r="P585" s="583" t="s">
        <v>194</v>
      </c>
      <c r="Q585" s="437"/>
      <c r="R585" s="437"/>
      <c r="S585" s="437"/>
      <c r="T585" s="175" t="s">
        <v>2684</v>
      </c>
      <c r="U585" s="138" t="s">
        <v>10</v>
      </c>
      <c r="V585" s="6" t="s">
        <v>16</v>
      </c>
      <c r="W585" s="6" t="s">
        <v>16</v>
      </c>
      <c r="X585" s="617" t="s">
        <v>194</v>
      </c>
      <c r="Y585" s="33" t="s">
        <v>1316</v>
      </c>
      <c r="Z585" s="444" t="s">
        <v>604</v>
      </c>
      <c r="AA585" s="617">
        <v>2</v>
      </c>
      <c r="AB585" s="33" t="s">
        <v>5320</v>
      </c>
      <c r="AC585" s="6">
        <v>12</v>
      </c>
      <c r="AD585" s="6"/>
      <c r="AE585" s="6"/>
      <c r="AF585" s="6">
        <v>10</v>
      </c>
      <c r="AG585" s="6"/>
      <c r="AH585" s="6"/>
      <c r="AI585" s="444" t="s">
        <v>256</v>
      </c>
      <c r="AJ585" s="150" t="s">
        <v>3459</v>
      </c>
      <c r="AK585" s="150"/>
      <c r="AL585" s="616"/>
      <c r="AM585" s="616"/>
      <c r="AN585" s="444" t="s">
        <v>6337</v>
      </c>
      <c r="AO585" s="328" t="s">
        <v>6329</v>
      </c>
      <c r="AP585" s="445" t="s">
        <v>6333</v>
      </c>
      <c r="AQ585" s="445" t="s">
        <v>3457</v>
      </c>
      <c r="AR585" s="618">
        <v>44320</v>
      </c>
      <c r="AS585" s="445" t="s">
        <v>3457</v>
      </c>
      <c r="AT585" s="618">
        <v>44321</v>
      </c>
      <c r="AU585" s="1110" t="s">
        <v>37</v>
      </c>
    </row>
    <row r="586" spans="1:47" s="546" customFormat="1" ht="26.25" x14ac:dyDescent="0.25">
      <c r="A586" s="808"/>
      <c r="B586" s="550"/>
      <c r="C586" s="161"/>
      <c r="D586" s="573"/>
      <c r="E586" s="573"/>
      <c r="F586" s="161"/>
      <c r="G586" s="162"/>
      <c r="H586" s="163"/>
      <c r="I586" s="423"/>
      <c r="J586" s="194">
        <v>2453</v>
      </c>
      <c r="K586" s="434" t="s">
        <v>5662</v>
      </c>
      <c r="L586" s="919">
        <v>1907054.9098</v>
      </c>
      <c r="M586" s="919">
        <v>5573853.7166999998</v>
      </c>
      <c r="N586" s="163"/>
      <c r="O586" s="583" t="s">
        <v>6324</v>
      </c>
      <c r="P586" s="583" t="s">
        <v>194</v>
      </c>
      <c r="Q586" s="1015"/>
      <c r="R586" s="1015"/>
      <c r="S586" s="437"/>
      <c r="T586" s="175" t="s">
        <v>6336</v>
      </c>
      <c r="U586" s="138" t="s">
        <v>10</v>
      </c>
      <c r="V586" s="6" t="s">
        <v>10</v>
      </c>
      <c r="W586" s="6" t="s">
        <v>10</v>
      </c>
      <c r="X586" s="617" t="s">
        <v>194</v>
      </c>
      <c r="Y586" s="33" t="s">
        <v>4204</v>
      </c>
      <c r="Z586" s="444" t="s">
        <v>638</v>
      </c>
      <c r="AA586" s="617">
        <v>2</v>
      </c>
      <c r="AB586" s="33" t="s">
        <v>5320</v>
      </c>
      <c r="AC586" s="6">
        <v>15</v>
      </c>
      <c r="AD586" s="6"/>
      <c r="AE586" s="6"/>
      <c r="AF586" s="6">
        <v>12</v>
      </c>
      <c r="AG586" s="6"/>
      <c r="AH586" s="6"/>
      <c r="AI586" s="444" t="s">
        <v>23</v>
      </c>
      <c r="AJ586" s="150" t="s">
        <v>13</v>
      </c>
      <c r="AK586" s="150"/>
      <c r="AL586" s="616"/>
      <c r="AM586" s="616"/>
      <c r="AN586" s="444" t="s">
        <v>6337</v>
      </c>
      <c r="AO586" s="444" t="s">
        <v>6326</v>
      </c>
      <c r="AP586" s="445" t="s">
        <v>6334</v>
      </c>
      <c r="AQ586" s="445" t="s">
        <v>3457</v>
      </c>
      <c r="AR586" s="618">
        <v>44320</v>
      </c>
      <c r="AS586" s="445" t="s">
        <v>3457</v>
      </c>
      <c r="AT586" s="618">
        <v>44321</v>
      </c>
      <c r="AU586" s="1110" t="s">
        <v>37</v>
      </c>
    </row>
    <row r="587" spans="1:47" s="546" customFormat="1" ht="27" thickBot="1" x14ac:dyDescent="0.3">
      <c r="A587" s="809"/>
      <c r="B587" s="174"/>
      <c r="C587" s="165"/>
      <c r="D587" s="574"/>
      <c r="E587" s="574"/>
      <c r="F587" s="165"/>
      <c r="G587" s="166"/>
      <c r="H587" s="167"/>
      <c r="I587" s="424"/>
      <c r="J587" s="195">
        <v>2550</v>
      </c>
      <c r="K587" s="435" t="s">
        <v>5663</v>
      </c>
      <c r="L587" s="925">
        <v>1915388.6429999999</v>
      </c>
      <c r="M587" s="925">
        <v>5588992.9477000004</v>
      </c>
      <c r="N587" s="167"/>
      <c r="O587" s="167" t="s">
        <v>6325</v>
      </c>
      <c r="P587" s="167" t="s">
        <v>194</v>
      </c>
      <c r="Q587" s="1016"/>
      <c r="R587" s="1016"/>
      <c r="S587" s="1016"/>
      <c r="T587" s="200" t="s">
        <v>2681</v>
      </c>
      <c r="U587" s="171" t="s">
        <v>10</v>
      </c>
      <c r="V587" s="154" t="s">
        <v>16</v>
      </c>
      <c r="W587" s="154" t="s">
        <v>16</v>
      </c>
      <c r="X587" s="156" t="s">
        <v>194</v>
      </c>
      <c r="Y587" s="49" t="s">
        <v>6330</v>
      </c>
      <c r="Z587" s="444" t="s">
        <v>638</v>
      </c>
      <c r="AA587" s="156">
        <v>2</v>
      </c>
      <c r="AB587" s="33" t="s">
        <v>5320</v>
      </c>
      <c r="AC587" s="154">
        <v>12</v>
      </c>
      <c r="AD587" s="154"/>
      <c r="AE587" s="154"/>
      <c r="AF587" s="154">
        <v>10</v>
      </c>
      <c r="AG587" s="154"/>
      <c r="AH587" s="154"/>
      <c r="AI587" s="183" t="s">
        <v>256</v>
      </c>
      <c r="AJ587" s="201" t="s">
        <v>3459</v>
      </c>
      <c r="AK587" s="201"/>
      <c r="AL587" s="443"/>
      <c r="AM587" s="443"/>
      <c r="AN587" s="444" t="s">
        <v>6337</v>
      </c>
      <c r="AO587" s="183" t="s">
        <v>6331</v>
      </c>
      <c r="AP587" s="155" t="s">
        <v>6328</v>
      </c>
      <c r="AQ587" s="155" t="s">
        <v>3457</v>
      </c>
      <c r="AR587" s="172">
        <v>44320</v>
      </c>
      <c r="AS587" s="155" t="s">
        <v>3457</v>
      </c>
      <c r="AT587" s="618">
        <v>44321</v>
      </c>
      <c r="AU587" s="1110" t="s">
        <v>37</v>
      </c>
    </row>
    <row r="588" spans="1:47" s="135" customFormat="1" ht="27" thickBot="1" x14ac:dyDescent="0.3">
      <c r="A588" s="334" t="s">
        <v>774</v>
      </c>
      <c r="B588" s="333" t="s">
        <v>774</v>
      </c>
      <c r="C588" s="84">
        <v>594</v>
      </c>
      <c r="D588" s="591" t="s">
        <v>53</v>
      </c>
      <c r="E588" s="591" t="s">
        <v>52</v>
      </c>
      <c r="F588" s="84" t="s">
        <v>152</v>
      </c>
      <c r="G588" s="149" t="s">
        <v>1972</v>
      </c>
      <c r="H588" s="109" t="s">
        <v>5511</v>
      </c>
      <c r="I588" s="124" t="s">
        <v>150</v>
      </c>
      <c r="J588" s="89">
        <v>132</v>
      </c>
      <c r="K588" s="396" t="s">
        <v>775</v>
      </c>
      <c r="L588" s="265">
        <v>1520219.4212</v>
      </c>
      <c r="M588" s="265">
        <v>5264163.7481000004</v>
      </c>
      <c r="N588" s="109"/>
      <c r="O588" s="109" t="s">
        <v>776</v>
      </c>
      <c r="P588" s="109" t="s">
        <v>5</v>
      </c>
      <c r="Q588" s="109"/>
      <c r="R588" s="109"/>
      <c r="S588" s="109"/>
      <c r="T588" s="343" t="s">
        <v>6353</v>
      </c>
      <c r="U588" s="206" t="s">
        <v>16</v>
      </c>
      <c r="V588" s="204" t="s">
        <v>85</v>
      </c>
      <c r="W588" s="204" t="s">
        <v>85</v>
      </c>
      <c r="X588" s="176" t="s">
        <v>5</v>
      </c>
      <c r="Y588" s="204">
        <v>40</v>
      </c>
      <c r="Z588" s="208" t="s">
        <v>341</v>
      </c>
      <c r="AA588" s="176">
        <v>1</v>
      </c>
      <c r="AB588" s="176">
        <v>40</v>
      </c>
      <c r="AC588" s="204"/>
      <c r="AD588" s="204"/>
      <c r="AE588" s="204"/>
      <c r="AF588" s="204"/>
      <c r="AG588" s="204"/>
      <c r="AH588" s="204"/>
      <c r="AI588" s="207" t="s">
        <v>256</v>
      </c>
      <c r="AJ588" s="205"/>
      <c r="AK588" s="205"/>
      <c r="AL588" s="353"/>
      <c r="AM588" s="353"/>
      <c r="AN588" s="207" t="s">
        <v>6354</v>
      </c>
      <c r="AO588" s="207" t="s">
        <v>777</v>
      </c>
      <c r="AP588" s="208" t="s">
        <v>778</v>
      </c>
      <c r="AQ588" s="208" t="s">
        <v>37</v>
      </c>
      <c r="AR588" s="209">
        <v>44063</v>
      </c>
      <c r="AS588" s="208" t="s">
        <v>37</v>
      </c>
      <c r="AT588" s="364"/>
      <c r="AU588" s="1109"/>
    </row>
    <row r="589" spans="1:47" s="211" customFormat="1" ht="90" x14ac:dyDescent="0.25">
      <c r="A589" s="807" t="s">
        <v>1121</v>
      </c>
      <c r="B589" s="349" t="s">
        <v>1121</v>
      </c>
      <c r="C589" s="157">
        <v>241</v>
      </c>
      <c r="D589" s="592" t="s">
        <v>57</v>
      </c>
      <c r="E589" s="592"/>
      <c r="F589" s="157" t="s">
        <v>1131</v>
      </c>
      <c r="G589" s="158" t="s">
        <v>1238</v>
      </c>
      <c r="H589" s="159" t="s">
        <v>5512</v>
      </c>
      <c r="I589" s="450" t="s">
        <v>5513</v>
      </c>
      <c r="J589" s="193">
        <v>203</v>
      </c>
      <c r="K589" s="433" t="s">
        <v>1122</v>
      </c>
      <c r="L589" s="924">
        <v>1830915</v>
      </c>
      <c r="M589" s="924">
        <v>5657645</v>
      </c>
      <c r="N589" s="159"/>
      <c r="O589" s="159" t="s">
        <v>1132</v>
      </c>
      <c r="P589" s="159" t="s">
        <v>194</v>
      </c>
      <c r="Q589" s="1103"/>
      <c r="R589" s="1103"/>
      <c r="S589" s="1103"/>
      <c r="T589" s="159" t="s">
        <v>1140</v>
      </c>
      <c r="U589" s="169" t="s">
        <v>10</v>
      </c>
      <c r="V589" s="151" t="s">
        <v>16</v>
      </c>
      <c r="W589" s="151" t="s">
        <v>10</v>
      </c>
      <c r="X589" s="153" t="s">
        <v>194</v>
      </c>
      <c r="Y589" s="151" t="s">
        <v>1150</v>
      </c>
      <c r="Z589" s="40" t="s">
        <v>1086</v>
      </c>
      <c r="AA589" s="153">
        <v>1</v>
      </c>
      <c r="AB589" s="153">
        <v>20</v>
      </c>
      <c r="AC589" s="153">
        <v>20</v>
      </c>
      <c r="AD589" s="151"/>
      <c r="AE589" s="151"/>
      <c r="AF589" s="151"/>
      <c r="AG589" s="151"/>
      <c r="AH589" s="151"/>
      <c r="AI589" s="30" t="s">
        <v>256</v>
      </c>
      <c r="AJ589" s="130"/>
      <c r="AK589" s="130"/>
      <c r="AL589" s="372"/>
      <c r="AM589" s="372"/>
      <c r="AN589" s="40" t="s">
        <v>1090</v>
      </c>
      <c r="AO589" s="40" t="s">
        <v>1087</v>
      </c>
      <c r="AP589" s="40" t="s">
        <v>1088</v>
      </c>
      <c r="AQ589" s="40" t="s">
        <v>37</v>
      </c>
      <c r="AR589" s="41">
        <v>44089</v>
      </c>
      <c r="AS589" s="40" t="s">
        <v>37</v>
      </c>
      <c r="AT589" s="361"/>
      <c r="AU589" s="1112"/>
    </row>
    <row r="590" spans="1:47" s="211" customFormat="1" ht="39" x14ac:dyDescent="0.25">
      <c r="A590" s="808"/>
      <c r="B590" s="550"/>
      <c r="C590" s="161"/>
      <c r="D590" s="573"/>
      <c r="E590" s="573"/>
      <c r="F590" s="161"/>
      <c r="G590" s="162"/>
      <c r="H590" s="163"/>
      <c r="I590" s="423"/>
      <c r="J590" s="194">
        <v>204</v>
      </c>
      <c r="K590" s="434" t="s">
        <v>1123</v>
      </c>
      <c r="L590" s="919">
        <v>1830550</v>
      </c>
      <c r="M590" s="919">
        <v>5659703</v>
      </c>
      <c r="N590" s="163"/>
      <c r="O590" s="163" t="s">
        <v>1133</v>
      </c>
      <c r="P590" s="163" t="s">
        <v>194</v>
      </c>
      <c r="Q590" s="437"/>
      <c r="R590" s="437"/>
      <c r="S590" s="437"/>
      <c r="T590" s="163" t="s">
        <v>1141</v>
      </c>
      <c r="U590" s="138" t="s">
        <v>10</v>
      </c>
      <c r="V590" s="136" t="s">
        <v>16</v>
      </c>
      <c r="W590" s="136" t="s">
        <v>10</v>
      </c>
      <c r="X590" s="132" t="s">
        <v>194</v>
      </c>
      <c r="Y590" s="136" t="s">
        <v>1151</v>
      </c>
      <c r="Z590" s="46" t="s">
        <v>1086</v>
      </c>
      <c r="AA590" s="132">
        <v>1</v>
      </c>
      <c r="AB590" s="132">
        <v>20</v>
      </c>
      <c r="AC590" s="132">
        <v>20</v>
      </c>
      <c r="AD590" s="136"/>
      <c r="AE590" s="136"/>
      <c r="AF590" s="136"/>
      <c r="AG590" s="136"/>
      <c r="AH590" s="136"/>
      <c r="AI590" s="45" t="s">
        <v>256</v>
      </c>
      <c r="AJ590" s="103"/>
      <c r="AK590" s="103"/>
      <c r="AL590" s="351"/>
      <c r="AM590" s="351"/>
      <c r="AN590" s="46" t="s">
        <v>1090</v>
      </c>
      <c r="AO590" s="46" t="s">
        <v>1087</v>
      </c>
      <c r="AP590" s="46" t="s">
        <v>1088</v>
      </c>
      <c r="AQ590" s="46" t="s">
        <v>37</v>
      </c>
      <c r="AR590" s="47">
        <v>44089</v>
      </c>
      <c r="AS590" s="46" t="s">
        <v>37</v>
      </c>
      <c r="AT590" s="358"/>
      <c r="AU590" s="1110"/>
    </row>
    <row r="591" spans="1:47" s="211" customFormat="1" ht="39" x14ac:dyDescent="0.25">
      <c r="A591" s="808"/>
      <c r="B591" s="550"/>
      <c r="C591" s="161"/>
      <c r="D591" s="573"/>
      <c r="E591" s="573"/>
      <c r="F591" s="161"/>
      <c r="G591" s="162"/>
      <c r="H591" s="163"/>
      <c r="I591" s="423"/>
      <c r="J591" s="194">
        <v>205</v>
      </c>
      <c r="K591" s="434" t="s">
        <v>1124</v>
      </c>
      <c r="L591" s="919">
        <v>1830633</v>
      </c>
      <c r="M591" s="919">
        <v>5659982</v>
      </c>
      <c r="N591" s="163"/>
      <c r="O591" s="163" t="s">
        <v>1133</v>
      </c>
      <c r="P591" s="163" t="s">
        <v>194</v>
      </c>
      <c r="Q591" s="437"/>
      <c r="R591" s="437"/>
      <c r="S591" s="437"/>
      <c r="T591" s="163" t="s">
        <v>1141</v>
      </c>
      <c r="U591" s="138" t="s">
        <v>10</v>
      </c>
      <c r="V591" s="136" t="s">
        <v>16</v>
      </c>
      <c r="W591" s="136" t="s">
        <v>10</v>
      </c>
      <c r="X591" s="132" t="s">
        <v>194</v>
      </c>
      <c r="Y591" s="136" t="s">
        <v>1152</v>
      </c>
      <c r="Z591" s="46" t="s">
        <v>1086</v>
      </c>
      <c r="AA591" s="132">
        <v>1</v>
      </c>
      <c r="AB591" s="132">
        <v>20</v>
      </c>
      <c r="AC591" s="132">
        <v>20</v>
      </c>
      <c r="AD591" s="136"/>
      <c r="AE591" s="136"/>
      <c r="AF591" s="136"/>
      <c r="AG591" s="136"/>
      <c r="AH591" s="136"/>
      <c r="AI591" s="45" t="s">
        <v>256</v>
      </c>
      <c r="AJ591" s="103"/>
      <c r="AK591" s="103"/>
      <c r="AL591" s="351"/>
      <c r="AM591" s="351"/>
      <c r="AN591" s="46" t="s">
        <v>1090</v>
      </c>
      <c r="AO591" s="46" t="s">
        <v>1087</v>
      </c>
      <c r="AP591" s="46" t="s">
        <v>1088</v>
      </c>
      <c r="AQ591" s="46" t="s">
        <v>37</v>
      </c>
      <c r="AR591" s="47">
        <v>44089</v>
      </c>
      <c r="AS591" s="46" t="s">
        <v>37</v>
      </c>
      <c r="AT591" s="358"/>
      <c r="AU591" s="1110"/>
    </row>
    <row r="592" spans="1:47" s="211" customFormat="1" ht="39" x14ac:dyDescent="0.25">
      <c r="A592" s="808"/>
      <c r="B592" s="550"/>
      <c r="C592" s="161"/>
      <c r="D592" s="573"/>
      <c r="E592" s="573"/>
      <c r="F592" s="161"/>
      <c r="G592" s="162"/>
      <c r="H592" s="163"/>
      <c r="I592" s="423"/>
      <c r="J592" s="194">
        <v>206</v>
      </c>
      <c r="K592" s="434" t="s">
        <v>1125</v>
      </c>
      <c r="L592" s="919">
        <v>1831732</v>
      </c>
      <c r="M592" s="919">
        <v>5660885</v>
      </c>
      <c r="N592" s="163"/>
      <c r="O592" s="163" t="s">
        <v>1134</v>
      </c>
      <c r="P592" s="163" t="s">
        <v>194</v>
      </c>
      <c r="Q592" s="437"/>
      <c r="R592" s="437"/>
      <c r="S592" s="437"/>
      <c r="T592" s="163" t="s">
        <v>1142</v>
      </c>
      <c r="U592" s="138" t="s">
        <v>10</v>
      </c>
      <c r="V592" s="136" t="s">
        <v>16</v>
      </c>
      <c r="W592" s="136" t="s">
        <v>10</v>
      </c>
      <c r="X592" s="132" t="s">
        <v>194</v>
      </c>
      <c r="Y592" s="136" t="s">
        <v>1153</v>
      </c>
      <c r="Z592" s="46" t="s">
        <v>1086</v>
      </c>
      <c r="AA592" s="132">
        <v>1</v>
      </c>
      <c r="AB592" s="132">
        <v>60</v>
      </c>
      <c r="AC592" s="132">
        <v>60</v>
      </c>
      <c r="AD592" s="136"/>
      <c r="AE592" s="136"/>
      <c r="AF592" s="136"/>
      <c r="AG592" s="136"/>
      <c r="AH592" s="136"/>
      <c r="AI592" s="45" t="s">
        <v>256</v>
      </c>
      <c r="AJ592" s="103"/>
      <c r="AK592" s="103"/>
      <c r="AL592" s="351"/>
      <c r="AM592" s="351"/>
      <c r="AN592" s="46" t="s">
        <v>1090</v>
      </c>
      <c r="AO592" s="46" t="s">
        <v>1087</v>
      </c>
      <c r="AP592" s="46" t="s">
        <v>1088</v>
      </c>
      <c r="AQ592" s="46" t="s">
        <v>37</v>
      </c>
      <c r="AR592" s="47">
        <v>44089</v>
      </c>
      <c r="AS592" s="46" t="s">
        <v>37</v>
      </c>
      <c r="AT592" s="358"/>
      <c r="AU592" s="1110"/>
    </row>
    <row r="593" spans="1:47" s="211" customFormat="1" ht="39" x14ac:dyDescent="0.25">
      <c r="A593" s="808"/>
      <c r="B593" s="550"/>
      <c r="C593" s="161"/>
      <c r="D593" s="573"/>
      <c r="E593" s="573"/>
      <c r="F593" s="161"/>
      <c r="G593" s="162"/>
      <c r="H593" s="163"/>
      <c r="I593" s="423"/>
      <c r="J593" s="194">
        <v>207</v>
      </c>
      <c r="K593" s="434" t="s">
        <v>1126</v>
      </c>
      <c r="L593" s="919">
        <v>1832619</v>
      </c>
      <c r="M593" s="919">
        <v>5663150</v>
      </c>
      <c r="N593" s="163"/>
      <c r="O593" s="163" t="s">
        <v>1135</v>
      </c>
      <c r="P593" s="163" t="s">
        <v>194</v>
      </c>
      <c r="Q593" s="437"/>
      <c r="R593" s="437"/>
      <c r="S593" s="437"/>
      <c r="T593" s="163" t="s">
        <v>1143</v>
      </c>
      <c r="U593" s="138" t="s">
        <v>10</v>
      </c>
      <c r="V593" s="136" t="s">
        <v>16</v>
      </c>
      <c r="W593" s="136" t="s">
        <v>10</v>
      </c>
      <c r="X593" s="132" t="s">
        <v>194</v>
      </c>
      <c r="Y593" s="136" t="s">
        <v>1148</v>
      </c>
      <c r="Z593" s="46" t="s">
        <v>1086</v>
      </c>
      <c r="AA593" s="132">
        <v>1</v>
      </c>
      <c r="AB593" s="132">
        <v>15</v>
      </c>
      <c r="AC593" s="132">
        <v>15</v>
      </c>
      <c r="AD593" s="136"/>
      <c r="AE593" s="136"/>
      <c r="AF593" s="136"/>
      <c r="AG593" s="136"/>
      <c r="AH593" s="136"/>
      <c r="AI593" s="45" t="s">
        <v>256</v>
      </c>
      <c r="AJ593" s="103"/>
      <c r="AK593" s="103"/>
      <c r="AL593" s="351"/>
      <c r="AM593" s="351"/>
      <c r="AN593" s="46" t="s">
        <v>1090</v>
      </c>
      <c r="AO593" s="46" t="s">
        <v>1087</v>
      </c>
      <c r="AP593" s="46" t="s">
        <v>1088</v>
      </c>
      <c r="AQ593" s="46" t="s">
        <v>37</v>
      </c>
      <c r="AR593" s="47">
        <v>44089</v>
      </c>
      <c r="AS593" s="46" t="s">
        <v>37</v>
      </c>
      <c r="AT593" s="358"/>
      <c r="AU593" s="1110"/>
    </row>
    <row r="594" spans="1:47" s="211" customFormat="1" ht="39" x14ac:dyDescent="0.25">
      <c r="A594" s="808"/>
      <c r="B594" s="550"/>
      <c r="C594" s="161"/>
      <c r="D594" s="573"/>
      <c r="E594" s="573"/>
      <c r="F594" s="161"/>
      <c r="G594" s="162"/>
      <c r="H594" s="163"/>
      <c r="I594" s="423"/>
      <c r="J594" s="194">
        <v>208</v>
      </c>
      <c r="K594" s="434" t="s">
        <v>1127</v>
      </c>
      <c r="L594" s="919">
        <v>1833411</v>
      </c>
      <c r="M594" s="919">
        <v>5664445</v>
      </c>
      <c r="N594" s="163"/>
      <c r="O594" s="163" t="s">
        <v>1136</v>
      </c>
      <c r="P594" s="163" t="s">
        <v>194</v>
      </c>
      <c r="Q594" s="437"/>
      <c r="R594" s="437"/>
      <c r="S594" s="437"/>
      <c r="T594" s="163" t="s">
        <v>1144</v>
      </c>
      <c r="U594" s="138" t="s">
        <v>10</v>
      </c>
      <c r="V594" s="136" t="s">
        <v>16</v>
      </c>
      <c r="W594" s="136" t="s">
        <v>10</v>
      </c>
      <c r="X594" s="132" t="s">
        <v>194</v>
      </c>
      <c r="Y594" s="136" t="s">
        <v>1154</v>
      </c>
      <c r="Z594" s="46" t="s">
        <v>1086</v>
      </c>
      <c r="AA594" s="132">
        <v>1</v>
      </c>
      <c r="AB594" s="132">
        <v>60</v>
      </c>
      <c r="AC594" s="132">
        <v>60</v>
      </c>
      <c r="AD594" s="136"/>
      <c r="AE594" s="136"/>
      <c r="AF594" s="136"/>
      <c r="AG594" s="136"/>
      <c r="AH594" s="136"/>
      <c r="AI594" s="45" t="s">
        <v>256</v>
      </c>
      <c r="AJ594" s="103"/>
      <c r="AK594" s="103"/>
      <c r="AL594" s="351"/>
      <c r="AM594" s="351"/>
      <c r="AN594" s="46" t="s">
        <v>1090</v>
      </c>
      <c r="AO594" s="46" t="s">
        <v>1087</v>
      </c>
      <c r="AP594" s="46" t="s">
        <v>1088</v>
      </c>
      <c r="AQ594" s="46" t="s">
        <v>37</v>
      </c>
      <c r="AR594" s="47">
        <v>44089</v>
      </c>
      <c r="AS594" s="46" t="s">
        <v>37</v>
      </c>
      <c r="AT594" s="358"/>
      <c r="AU594" s="1110"/>
    </row>
    <row r="595" spans="1:47" s="211" customFormat="1" ht="39" x14ac:dyDescent="0.25">
      <c r="A595" s="808"/>
      <c r="B595" s="550"/>
      <c r="C595" s="161"/>
      <c r="D595" s="573"/>
      <c r="E595" s="573"/>
      <c r="F595" s="161"/>
      <c r="G595" s="162"/>
      <c r="H595" s="163"/>
      <c r="I595" s="423"/>
      <c r="J595" s="194">
        <v>209</v>
      </c>
      <c r="K595" s="434" t="s">
        <v>1128</v>
      </c>
      <c r="L595" s="919">
        <v>1834640</v>
      </c>
      <c r="M595" s="919">
        <v>5665756</v>
      </c>
      <c r="N595" s="163"/>
      <c r="O595" s="163" t="s">
        <v>1137</v>
      </c>
      <c r="P595" s="163" t="s">
        <v>194</v>
      </c>
      <c r="Q595" s="437"/>
      <c r="R595" s="437"/>
      <c r="S595" s="437"/>
      <c r="T595" s="163" t="s">
        <v>1145</v>
      </c>
      <c r="U595" s="138" t="s">
        <v>10</v>
      </c>
      <c r="V595" s="136" t="s">
        <v>16</v>
      </c>
      <c r="W595" s="136" t="s">
        <v>10</v>
      </c>
      <c r="X595" s="132" t="s">
        <v>194</v>
      </c>
      <c r="Y595" s="136" t="s">
        <v>1155</v>
      </c>
      <c r="Z595" s="46" t="s">
        <v>1086</v>
      </c>
      <c r="AA595" s="132">
        <v>1</v>
      </c>
      <c r="AB595" s="132">
        <v>20</v>
      </c>
      <c r="AC595" s="132">
        <v>20</v>
      </c>
      <c r="AD595" s="136"/>
      <c r="AE595" s="136"/>
      <c r="AF595" s="136"/>
      <c r="AG595" s="136"/>
      <c r="AH595" s="136"/>
      <c r="AI595" s="45" t="s">
        <v>256</v>
      </c>
      <c r="AJ595" s="103"/>
      <c r="AK595" s="103"/>
      <c r="AL595" s="351"/>
      <c r="AM595" s="351"/>
      <c r="AN595" s="46" t="s">
        <v>1090</v>
      </c>
      <c r="AO595" s="46" t="s">
        <v>1087</v>
      </c>
      <c r="AP595" s="46" t="s">
        <v>1088</v>
      </c>
      <c r="AQ595" s="46" t="s">
        <v>37</v>
      </c>
      <c r="AR595" s="47">
        <v>44089</v>
      </c>
      <c r="AS595" s="46" t="s">
        <v>37</v>
      </c>
      <c r="AT595" s="358"/>
      <c r="AU595" s="1110"/>
    </row>
    <row r="596" spans="1:47" s="211" customFormat="1" ht="39" x14ac:dyDescent="0.25">
      <c r="A596" s="808"/>
      <c r="B596" s="550"/>
      <c r="C596" s="161"/>
      <c r="D596" s="573"/>
      <c r="E596" s="573"/>
      <c r="F596" s="161"/>
      <c r="G596" s="162"/>
      <c r="H596" s="163"/>
      <c r="I596" s="423"/>
      <c r="J596" s="194">
        <v>210</v>
      </c>
      <c r="K596" s="434" t="s">
        <v>1129</v>
      </c>
      <c r="L596" s="919">
        <v>1836095</v>
      </c>
      <c r="M596" s="919">
        <v>5668983</v>
      </c>
      <c r="N596" s="163"/>
      <c r="O596" s="163" t="s">
        <v>1138</v>
      </c>
      <c r="P596" s="163" t="s">
        <v>194</v>
      </c>
      <c r="Q596" s="437"/>
      <c r="R596" s="437"/>
      <c r="S596" s="437"/>
      <c r="T596" s="163" t="s">
        <v>1146</v>
      </c>
      <c r="U596" s="138" t="s">
        <v>10</v>
      </c>
      <c r="V596" s="136" t="s">
        <v>16</v>
      </c>
      <c r="W596" s="136" t="s">
        <v>10</v>
      </c>
      <c r="X596" s="132" t="s">
        <v>194</v>
      </c>
      <c r="Y596" s="136" t="s">
        <v>1156</v>
      </c>
      <c r="Z596" s="46" t="s">
        <v>1086</v>
      </c>
      <c r="AA596" s="132">
        <v>1</v>
      </c>
      <c r="AB596" s="132">
        <v>100</v>
      </c>
      <c r="AC596" s="132">
        <v>100</v>
      </c>
      <c r="AD596" s="136"/>
      <c r="AE596" s="136"/>
      <c r="AF596" s="136"/>
      <c r="AG596" s="136"/>
      <c r="AH596" s="136"/>
      <c r="AI596" s="45" t="s">
        <v>256</v>
      </c>
      <c r="AJ596" s="103"/>
      <c r="AK596" s="103"/>
      <c r="AL596" s="351"/>
      <c r="AM596" s="351"/>
      <c r="AN596" s="46" t="s">
        <v>1090</v>
      </c>
      <c r="AO596" s="46" t="s">
        <v>1087</v>
      </c>
      <c r="AP596" s="46" t="s">
        <v>1088</v>
      </c>
      <c r="AQ596" s="46" t="s">
        <v>37</v>
      </c>
      <c r="AR596" s="47">
        <v>44089</v>
      </c>
      <c r="AS596" s="46" t="s">
        <v>37</v>
      </c>
      <c r="AT596" s="358"/>
      <c r="AU596" s="1110"/>
    </row>
    <row r="597" spans="1:47" s="211" customFormat="1" ht="39.75" thickBot="1" x14ac:dyDescent="0.3">
      <c r="A597" s="809"/>
      <c r="B597" s="174"/>
      <c r="C597" s="165"/>
      <c r="D597" s="574"/>
      <c r="E597" s="574"/>
      <c r="F597" s="165"/>
      <c r="G597" s="166"/>
      <c r="H597" s="167"/>
      <c r="I597" s="424"/>
      <c r="J597" s="195">
        <v>211</v>
      </c>
      <c r="K597" s="435" t="s">
        <v>1130</v>
      </c>
      <c r="L597" s="925">
        <v>1837751</v>
      </c>
      <c r="M597" s="925">
        <v>5670032</v>
      </c>
      <c r="N597" s="167"/>
      <c r="O597" s="167" t="s">
        <v>1139</v>
      </c>
      <c r="P597" s="167" t="s">
        <v>194</v>
      </c>
      <c r="Q597" s="1016"/>
      <c r="R597" s="1016"/>
      <c r="S597" s="1016"/>
      <c r="T597" s="167" t="s">
        <v>1147</v>
      </c>
      <c r="U597" s="171" t="s">
        <v>10</v>
      </c>
      <c r="V597" s="154" t="s">
        <v>16</v>
      </c>
      <c r="W597" s="154" t="s">
        <v>10</v>
      </c>
      <c r="X597" s="156" t="s">
        <v>194</v>
      </c>
      <c r="Y597" s="154" t="s">
        <v>1149</v>
      </c>
      <c r="Z597" s="52" t="s">
        <v>1086</v>
      </c>
      <c r="AA597" s="156">
        <v>1</v>
      </c>
      <c r="AB597" s="156">
        <v>17.7</v>
      </c>
      <c r="AC597" s="156">
        <v>17.7</v>
      </c>
      <c r="AD597" s="154"/>
      <c r="AE597" s="154"/>
      <c r="AF597" s="154"/>
      <c r="AG597" s="154"/>
      <c r="AH597" s="154"/>
      <c r="AI597" s="51" t="s">
        <v>256</v>
      </c>
      <c r="AJ597" s="105"/>
      <c r="AK597" s="105"/>
      <c r="AL597" s="386"/>
      <c r="AM597" s="386"/>
      <c r="AN597" s="52" t="s">
        <v>1090</v>
      </c>
      <c r="AO597" s="52" t="s">
        <v>1087</v>
      </c>
      <c r="AP597" s="52" t="s">
        <v>1088</v>
      </c>
      <c r="AQ597" s="52" t="s">
        <v>37</v>
      </c>
      <c r="AR597" s="53">
        <v>44089</v>
      </c>
      <c r="AS597" s="52" t="s">
        <v>37</v>
      </c>
      <c r="AT597" s="362"/>
      <c r="AU597" s="1111"/>
    </row>
    <row r="598" spans="1:47" s="211" customFormat="1" ht="39.75" thickBot="1" x14ac:dyDescent="0.3">
      <c r="A598" s="334" t="s">
        <v>3285</v>
      </c>
      <c r="B598" s="333" t="s">
        <v>3285</v>
      </c>
      <c r="C598" s="84">
        <v>9</v>
      </c>
      <c r="D598" s="591" t="s">
        <v>3286</v>
      </c>
      <c r="E598" s="591"/>
      <c r="F598" s="84" t="s">
        <v>1553</v>
      </c>
      <c r="G598" s="149" t="s">
        <v>1238</v>
      </c>
      <c r="H598" s="109" t="s">
        <v>3309</v>
      </c>
      <c r="I598" s="124" t="s">
        <v>5490</v>
      </c>
      <c r="J598" s="84">
        <v>500</v>
      </c>
      <c r="K598" s="396" t="s">
        <v>3308</v>
      </c>
      <c r="L598" s="265">
        <v>1764532.4853000001</v>
      </c>
      <c r="M598" s="265">
        <v>5878816.8716000002</v>
      </c>
      <c r="N598" s="109"/>
      <c r="O598" s="109" t="s">
        <v>3309</v>
      </c>
      <c r="P598" s="109"/>
      <c r="Q598" s="109"/>
      <c r="R598" s="109"/>
      <c r="S598" s="109"/>
      <c r="T598" s="343" t="s">
        <v>3309</v>
      </c>
      <c r="U598" s="206" t="s">
        <v>16</v>
      </c>
      <c r="V598" s="204" t="s">
        <v>16</v>
      </c>
      <c r="W598" s="204" t="s">
        <v>16</v>
      </c>
      <c r="X598" s="176" t="s">
        <v>194</v>
      </c>
      <c r="Y598" s="204" t="s">
        <v>3310</v>
      </c>
      <c r="Z598" s="208" t="s">
        <v>1908</v>
      </c>
      <c r="AA598" s="176">
        <v>1</v>
      </c>
      <c r="AB598" s="176" t="s">
        <v>3296</v>
      </c>
      <c r="AC598" s="204"/>
      <c r="AD598" s="204">
        <v>900</v>
      </c>
      <c r="AE598" s="204">
        <v>1200</v>
      </c>
      <c r="AF598" s="204"/>
      <c r="AG598" s="204"/>
      <c r="AH598" s="204"/>
      <c r="AI598" s="207" t="s">
        <v>256</v>
      </c>
      <c r="AJ598" s="205"/>
      <c r="AK598" s="205"/>
      <c r="AL598" s="353"/>
      <c r="AM598" s="353"/>
      <c r="AN598" s="207" t="s">
        <v>3292</v>
      </c>
      <c r="AO598" s="207" t="s">
        <v>3293</v>
      </c>
      <c r="AP598" s="374" t="s">
        <v>3297</v>
      </c>
      <c r="AQ598" s="374" t="s">
        <v>37</v>
      </c>
      <c r="AR598" s="377">
        <v>44140</v>
      </c>
      <c r="AS598" s="374" t="s">
        <v>37</v>
      </c>
      <c r="AT598" s="364"/>
      <c r="AU598" s="1109"/>
    </row>
    <row r="599" spans="1:47" s="211" customFormat="1" ht="39.75" thickBot="1" x14ac:dyDescent="0.3">
      <c r="A599" s="516" t="s">
        <v>5880</v>
      </c>
      <c r="B599" s="516" t="s">
        <v>5880</v>
      </c>
      <c r="C599" s="27">
        <v>194</v>
      </c>
      <c r="D599" s="570" t="s">
        <v>57</v>
      </c>
      <c r="E599" s="570"/>
      <c r="F599" s="27" t="s">
        <v>4679</v>
      </c>
      <c r="G599" s="245" t="s">
        <v>1238</v>
      </c>
      <c r="H599" s="502" t="s">
        <v>5881</v>
      </c>
      <c r="I599" s="639" t="s">
        <v>5879</v>
      </c>
      <c r="J599" s="501">
        <v>888</v>
      </c>
      <c r="K599" s="60" t="s">
        <v>6286</v>
      </c>
      <c r="L599" s="933">
        <v>1915660.2707</v>
      </c>
      <c r="M599" s="933">
        <v>5779613.8465</v>
      </c>
      <c r="N599" s="502"/>
      <c r="O599" s="502" t="s">
        <v>5881</v>
      </c>
      <c r="P599" s="502" t="s">
        <v>193</v>
      </c>
      <c r="Q599" s="502"/>
      <c r="R599" s="502"/>
      <c r="S599" s="502"/>
      <c r="T599" s="722" t="s">
        <v>5881</v>
      </c>
      <c r="U599" s="169" t="s">
        <v>10</v>
      </c>
      <c r="V599" s="151" t="s">
        <v>16</v>
      </c>
      <c r="W599" s="151" t="s">
        <v>16</v>
      </c>
      <c r="X599" s="153" t="s">
        <v>194</v>
      </c>
      <c r="Y599" s="153" t="s">
        <v>6154</v>
      </c>
      <c r="Z599" s="152" t="s">
        <v>6169</v>
      </c>
      <c r="AA599" s="153">
        <v>1</v>
      </c>
      <c r="AB599" s="153" t="s">
        <v>6138</v>
      </c>
      <c r="AC599" s="151">
        <v>9</v>
      </c>
      <c r="AD599" s="151">
        <v>8.9</v>
      </c>
      <c r="AE599" s="151">
        <v>9.1</v>
      </c>
      <c r="AF599" s="151"/>
      <c r="AG599" s="151"/>
      <c r="AH599" s="151"/>
      <c r="AI599" s="203" t="s">
        <v>256</v>
      </c>
      <c r="AJ599" s="202"/>
      <c r="AK599" s="202"/>
      <c r="AL599" s="442"/>
      <c r="AM599" s="442"/>
      <c r="AN599" s="203" t="s">
        <v>6084</v>
      </c>
      <c r="AO599" s="203" t="s">
        <v>6285</v>
      </c>
      <c r="AP599" s="152" t="s">
        <v>6121</v>
      </c>
      <c r="AQ599" s="152" t="s">
        <v>37</v>
      </c>
      <c r="AR599" s="170">
        <v>44316</v>
      </c>
      <c r="AS599" s="152" t="s">
        <v>37</v>
      </c>
      <c r="AT599" s="361"/>
      <c r="AU599" s="1112"/>
    </row>
    <row r="600" spans="1:47" ht="78" thickBot="1" x14ac:dyDescent="0.3">
      <c r="A600" s="345" t="s">
        <v>1681</v>
      </c>
      <c r="B600" s="331" t="s">
        <v>6821</v>
      </c>
      <c r="C600" s="83">
        <v>290</v>
      </c>
      <c r="D600" s="588" t="s">
        <v>53</v>
      </c>
      <c r="E600" s="588"/>
      <c r="F600" s="83" t="s">
        <v>1604</v>
      </c>
      <c r="G600" s="83" t="s">
        <v>1974</v>
      </c>
      <c r="H600" s="199" t="s">
        <v>1677</v>
      </c>
      <c r="I600" s="395" t="s">
        <v>5517</v>
      </c>
      <c r="J600" s="87">
        <v>1183</v>
      </c>
      <c r="K600" s="360" t="s">
        <v>1680</v>
      </c>
      <c r="L600" s="947">
        <v>1757230.5053000001</v>
      </c>
      <c r="M600" s="198">
        <v>5454102.3432</v>
      </c>
      <c r="N600" s="199"/>
      <c r="O600" s="199" t="s">
        <v>1679</v>
      </c>
      <c r="P600" s="199" t="s">
        <v>1678</v>
      </c>
      <c r="Q600" s="199"/>
      <c r="R600" s="199"/>
      <c r="S600" s="199"/>
      <c r="T600" s="332" t="s">
        <v>1677</v>
      </c>
      <c r="U600" s="85" t="s">
        <v>16</v>
      </c>
      <c r="V600" s="86" t="s">
        <v>16</v>
      </c>
      <c r="W600" s="86" t="s">
        <v>16</v>
      </c>
      <c r="X600" s="197" t="s">
        <v>61</v>
      </c>
      <c r="Y600" s="197" t="s">
        <v>1676</v>
      </c>
      <c r="Z600" s="92" t="s">
        <v>1675</v>
      </c>
      <c r="AA600" s="197" t="s">
        <v>419</v>
      </c>
      <c r="AB600" s="86" t="s">
        <v>672</v>
      </c>
      <c r="AC600" s="86"/>
      <c r="AD600" s="86"/>
      <c r="AE600" s="86"/>
      <c r="AF600" s="86"/>
      <c r="AG600" s="387"/>
      <c r="AH600" s="387"/>
      <c r="AI600" s="94" t="s">
        <v>256</v>
      </c>
      <c r="AJ600" s="86"/>
      <c r="AK600" s="86"/>
      <c r="AL600" s="387"/>
      <c r="AM600" s="387"/>
      <c r="AN600" s="92" t="s">
        <v>6942</v>
      </c>
      <c r="AO600" s="92" t="s">
        <v>1674</v>
      </c>
      <c r="AP600" s="92" t="s">
        <v>6943</v>
      </c>
      <c r="AQ600" s="92" t="s">
        <v>1380</v>
      </c>
      <c r="AR600" s="93">
        <v>44091</v>
      </c>
      <c r="AS600" s="92" t="s">
        <v>1380</v>
      </c>
      <c r="AT600" s="93">
        <v>44091</v>
      </c>
      <c r="AU600" s="1108" t="s">
        <v>37</v>
      </c>
    </row>
    <row r="601" spans="1:47" s="211" customFormat="1" ht="65.25" thickBot="1" x14ac:dyDescent="0.3">
      <c r="A601" s="116" t="s">
        <v>1070</v>
      </c>
      <c r="B601" s="116" t="s">
        <v>1069</v>
      </c>
      <c r="C601" s="95">
        <v>254</v>
      </c>
      <c r="D601" s="567" t="s">
        <v>57</v>
      </c>
      <c r="E601" s="567"/>
      <c r="F601" s="95" t="s">
        <v>4679</v>
      </c>
      <c r="G601" s="146" t="s">
        <v>1238</v>
      </c>
      <c r="H601" s="108" t="s">
        <v>5940</v>
      </c>
      <c r="I601" s="122" t="s">
        <v>5879</v>
      </c>
      <c r="J601" s="84">
        <v>193</v>
      </c>
      <c r="K601" s="396" t="s">
        <v>1072</v>
      </c>
      <c r="L601" s="265">
        <v>1798548.8703000001</v>
      </c>
      <c r="M601" s="265">
        <v>5633228.9577000001</v>
      </c>
      <c r="N601" s="109"/>
      <c r="O601" s="109" t="s">
        <v>1074</v>
      </c>
      <c r="P601" s="109" t="s">
        <v>193</v>
      </c>
      <c r="Q601" s="109"/>
      <c r="R601" s="109"/>
      <c r="S601" s="109"/>
      <c r="T601" s="343" t="s">
        <v>2263</v>
      </c>
      <c r="U601" s="204" t="s">
        <v>16</v>
      </c>
      <c r="V601" s="204" t="s">
        <v>16</v>
      </c>
      <c r="W601" s="204" t="s">
        <v>16</v>
      </c>
      <c r="X601" s="176" t="s">
        <v>194</v>
      </c>
      <c r="Y601" s="204" t="s">
        <v>1077</v>
      </c>
      <c r="Z601" s="208" t="s">
        <v>1065</v>
      </c>
      <c r="AA601" s="176">
        <v>1</v>
      </c>
      <c r="AB601" s="176" t="s">
        <v>1066</v>
      </c>
      <c r="AC601" s="204">
        <v>18</v>
      </c>
      <c r="AD601" s="204">
        <v>15</v>
      </c>
      <c r="AE601" s="204">
        <v>21</v>
      </c>
      <c r="AF601" s="204"/>
      <c r="AG601" s="204"/>
      <c r="AH601" s="204"/>
      <c r="AI601" s="207" t="s">
        <v>256</v>
      </c>
      <c r="AJ601" s="205"/>
      <c r="AK601" s="205"/>
      <c r="AL601" s="353"/>
      <c r="AM601" s="353"/>
      <c r="AN601" s="94" t="s">
        <v>1079</v>
      </c>
      <c r="AO601" s="94" t="s">
        <v>1067</v>
      </c>
      <c r="AP601" s="208" t="s">
        <v>1068</v>
      </c>
      <c r="AQ601" s="208" t="s">
        <v>37</v>
      </c>
      <c r="AR601" s="209">
        <v>44085</v>
      </c>
      <c r="AS601" s="208" t="s">
        <v>37</v>
      </c>
      <c r="AT601" s="364"/>
      <c r="AU601" s="1109"/>
    </row>
    <row r="602" spans="1:47" s="211" customFormat="1" ht="65.25" thickBot="1" x14ac:dyDescent="0.3">
      <c r="A602" s="116" t="s">
        <v>1071</v>
      </c>
      <c r="B602" s="116"/>
      <c r="C602" s="95"/>
      <c r="D602" s="567"/>
      <c r="E602" s="567"/>
      <c r="F602" s="95"/>
      <c r="G602" s="146"/>
      <c r="H602" s="108"/>
      <c r="I602" s="116"/>
      <c r="J602" s="89">
        <v>194</v>
      </c>
      <c r="K602" s="396" t="s">
        <v>1073</v>
      </c>
      <c r="L602" s="265">
        <v>1799775.9217999999</v>
      </c>
      <c r="M602" s="265">
        <v>5630997.9364</v>
      </c>
      <c r="N602" s="109"/>
      <c r="O602" s="109" t="s">
        <v>1075</v>
      </c>
      <c r="P602" s="109" t="s">
        <v>193</v>
      </c>
      <c r="Q602" s="109"/>
      <c r="R602" s="109"/>
      <c r="S602" s="109"/>
      <c r="T602" s="343" t="s">
        <v>2261</v>
      </c>
      <c r="U602" s="206" t="s">
        <v>16</v>
      </c>
      <c r="V602" s="204" t="s">
        <v>16</v>
      </c>
      <c r="W602" s="204" t="s">
        <v>16</v>
      </c>
      <c r="X602" s="176" t="s">
        <v>194</v>
      </c>
      <c r="Y602" s="204" t="s">
        <v>1078</v>
      </c>
      <c r="Z602" s="208" t="s">
        <v>1065</v>
      </c>
      <c r="AA602" s="176">
        <v>1</v>
      </c>
      <c r="AB602" s="176" t="s">
        <v>1066</v>
      </c>
      <c r="AC602" s="204">
        <v>18</v>
      </c>
      <c r="AD602" s="204">
        <v>15</v>
      </c>
      <c r="AE602" s="204">
        <v>21</v>
      </c>
      <c r="AF602" s="204"/>
      <c r="AG602" s="204"/>
      <c r="AH602" s="204"/>
      <c r="AI602" s="207" t="s">
        <v>256</v>
      </c>
      <c r="AJ602" s="205"/>
      <c r="AK602" s="205"/>
      <c r="AL602" s="353"/>
      <c r="AM602" s="353"/>
      <c r="AN602" s="94" t="s">
        <v>1080</v>
      </c>
      <c r="AO602" s="94" t="s">
        <v>1067</v>
      </c>
      <c r="AP602" s="208" t="s">
        <v>1068</v>
      </c>
      <c r="AQ602" s="208" t="s">
        <v>37</v>
      </c>
      <c r="AR602" s="209">
        <v>44085</v>
      </c>
      <c r="AS602" s="208" t="s">
        <v>37</v>
      </c>
      <c r="AT602" s="364"/>
      <c r="AU602" s="1109"/>
    </row>
    <row r="603" spans="1:47" s="211" customFormat="1" ht="39.75" thickBot="1" x14ac:dyDescent="0.3">
      <c r="A603" s="116" t="s">
        <v>1069</v>
      </c>
      <c r="B603" s="116"/>
      <c r="C603" s="95"/>
      <c r="D603" s="567"/>
      <c r="E603" s="567"/>
      <c r="F603" s="95"/>
      <c r="G603" s="146"/>
      <c r="H603" s="108"/>
      <c r="I603" s="116"/>
      <c r="J603" s="89">
        <v>877</v>
      </c>
      <c r="K603" s="396" t="s">
        <v>6279</v>
      </c>
      <c r="L603" s="265">
        <v>1798297.5952000001</v>
      </c>
      <c r="M603" s="265">
        <v>5631779.1796000004</v>
      </c>
      <c r="N603" s="109"/>
      <c r="O603" s="109" t="s">
        <v>5940</v>
      </c>
      <c r="P603" s="109" t="s">
        <v>193</v>
      </c>
      <c r="Q603" s="109"/>
      <c r="R603" s="109"/>
      <c r="S603" s="109"/>
      <c r="T603" s="343" t="s">
        <v>5940</v>
      </c>
      <c r="U603" s="136" t="s">
        <v>10</v>
      </c>
      <c r="V603" s="136" t="s">
        <v>16</v>
      </c>
      <c r="W603" s="136" t="s">
        <v>16</v>
      </c>
      <c r="X603" s="132" t="s">
        <v>194</v>
      </c>
      <c r="Y603" s="136" t="s">
        <v>6126</v>
      </c>
      <c r="Z603" s="137" t="s">
        <v>6125</v>
      </c>
      <c r="AA603" s="132">
        <v>1</v>
      </c>
      <c r="AB603" s="132" t="s">
        <v>6120</v>
      </c>
      <c r="AC603" s="136">
        <v>59.5</v>
      </c>
      <c r="AD603" s="136">
        <f>59.5-14.5</f>
        <v>45</v>
      </c>
      <c r="AE603" s="136">
        <f>59.5+14.5</f>
        <v>74</v>
      </c>
      <c r="AF603" s="136"/>
      <c r="AG603" s="136"/>
      <c r="AH603" s="136"/>
      <c r="AI603" s="180" t="s">
        <v>256</v>
      </c>
      <c r="AJ603" s="173"/>
      <c r="AK603" s="173"/>
      <c r="AL603" s="350"/>
      <c r="AM603" s="350"/>
      <c r="AN603" s="180" t="s">
        <v>6084</v>
      </c>
      <c r="AO603" s="137" t="s">
        <v>6294</v>
      </c>
      <c r="AP603" s="137" t="s">
        <v>6121</v>
      </c>
      <c r="AQ603" s="137" t="s">
        <v>37</v>
      </c>
      <c r="AR603" s="139">
        <v>44316</v>
      </c>
      <c r="AS603" s="137"/>
      <c r="AT603" s="358"/>
      <c r="AU603" s="1110"/>
    </row>
    <row r="604" spans="1:47" ht="52.5" thickBot="1" x14ac:dyDescent="0.3">
      <c r="A604" s="345" t="s">
        <v>1850</v>
      </c>
      <c r="B604" s="331" t="s">
        <v>1850</v>
      </c>
      <c r="C604" s="83">
        <v>32</v>
      </c>
      <c r="D604" s="588" t="s">
        <v>57</v>
      </c>
      <c r="E604" s="588"/>
      <c r="F604" s="83" t="s">
        <v>155</v>
      </c>
      <c r="G604" s="268" t="s">
        <v>1238</v>
      </c>
      <c r="H604" s="199" t="s">
        <v>1869</v>
      </c>
      <c r="I604" s="628" t="s">
        <v>5482</v>
      </c>
      <c r="J604" s="87">
        <v>250</v>
      </c>
      <c r="K604" s="360" t="s">
        <v>1857</v>
      </c>
      <c r="L604" s="198">
        <v>1667261.48</v>
      </c>
      <c r="M604" s="198">
        <v>5646515.8629000001</v>
      </c>
      <c r="N604" s="199"/>
      <c r="O604" s="199" t="s">
        <v>1862</v>
      </c>
      <c r="P604" s="83" t="s">
        <v>194</v>
      </c>
      <c r="Q604" s="1088"/>
      <c r="R604" s="1088"/>
      <c r="S604" s="1088"/>
      <c r="T604" s="332" t="s">
        <v>1869</v>
      </c>
      <c r="U604" s="86" t="s">
        <v>16</v>
      </c>
      <c r="V604" s="86" t="s">
        <v>16</v>
      </c>
      <c r="W604" s="86" t="s">
        <v>16</v>
      </c>
      <c r="X604" s="86" t="s">
        <v>194</v>
      </c>
      <c r="Y604" s="86" t="s">
        <v>1875</v>
      </c>
      <c r="Z604" s="92" t="s">
        <v>1881</v>
      </c>
      <c r="AA604" s="86">
        <v>1</v>
      </c>
      <c r="AB604" s="86">
        <v>13.5</v>
      </c>
      <c r="AC604" s="86">
        <v>13.5</v>
      </c>
      <c r="AD604" s="86"/>
      <c r="AE604" s="86"/>
      <c r="AF604" s="86"/>
      <c r="AG604" s="387"/>
      <c r="AH604" s="387"/>
      <c r="AI604" s="94" t="s">
        <v>256</v>
      </c>
      <c r="AJ604" s="106"/>
      <c r="AK604" s="106"/>
      <c r="AL604" s="387"/>
      <c r="AM604" s="387"/>
      <c r="AN604" s="92" t="s">
        <v>1883</v>
      </c>
      <c r="AO604" s="92" t="s">
        <v>1885</v>
      </c>
      <c r="AP604" s="92" t="s">
        <v>1868</v>
      </c>
      <c r="AQ604" s="92" t="s">
        <v>37</v>
      </c>
      <c r="AR604" s="93">
        <v>44103</v>
      </c>
      <c r="AS604" s="92" t="s">
        <v>37</v>
      </c>
      <c r="AT604" s="368"/>
      <c r="AU604" s="1108"/>
    </row>
    <row r="605" spans="1:47" ht="52.5" thickBot="1" x14ac:dyDescent="0.3">
      <c r="A605" s="334" t="s">
        <v>5624</v>
      </c>
      <c r="B605" s="333" t="s">
        <v>5624</v>
      </c>
      <c r="C605" s="84">
        <v>307</v>
      </c>
      <c r="D605" s="591" t="s">
        <v>52</v>
      </c>
      <c r="E605" s="591" t="s">
        <v>53</v>
      </c>
      <c r="F605" s="84" t="s">
        <v>5625</v>
      </c>
      <c r="G605" s="84" t="s">
        <v>1973</v>
      </c>
      <c r="H605" s="109" t="s">
        <v>2263</v>
      </c>
      <c r="I605" s="124" t="s">
        <v>5641</v>
      </c>
      <c r="J605" s="89">
        <v>2421</v>
      </c>
      <c r="K605" s="396" t="s">
        <v>5626</v>
      </c>
      <c r="L605" s="265">
        <v>1878248.0098000001</v>
      </c>
      <c r="M605" s="265">
        <v>5580720.7609000001</v>
      </c>
      <c r="N605" s="109">
        <v>20</v>
      </c>
      <c r="O605" s="109" t="s">
        <v>5627</v>
      </c>
      <c r="P605" s="84" t="s">
        <v>194</v>
      </c>
      <c r="Q605" s="109"/>
      <c r="R605" s="109"/>
      <c r="S605" s="109"/>
      <c r="T605" s="343" t="s">
        <v>671</v>
      </c>
      <c r="U605" s="85" t="s">
        <v>10</v>
      </c>
      <c r="V605" s="86" t="s">
        <v>85</v>
      </c>
      <c r="W605" s="86" t="s">
        <v>16</v>
      </c>
      <c r="X605" s="86" t="s">
        <v>194</v>
      </c>
      <c r="Y605" s="106" t="s">
        <v>5628</v>
      </c>
      <c r="Z605" s="92" t="s">
        <v>3461</v>
      </c>
      <c r="AA605" s="86">
        <v>2</v>
      </c>
      <c r="AB605" s="106" t="s">
        <v>5320</v>
      </c>
      <c r="AC605" s="86">
        <v>15</v>
      </c>
      <c r="AD605" s="86"/>
      <c r="AE605" s="86"/>
      <c r="AF605" s="86">
        <v>12</v>
      </c>
      <c r="AG605" s="387"/>
      <c r="AH605" s="387"/>
      <c r="AI605" s="94" t="s">
        <v>256</v>
      </c>
      <c r="AJ605" s="86" t="s">
        <v>13</v>
      </c>
      <c r="AK605" s="86"/>
      <c r="AL605" s="387"/>
      <c r="AM605" s="387"/>
      <c r="AN605" s="92" t="s">
        <v>5872</v>
      </c>
      <c r="AO605" s="342" t="s">
        <v>5451</v>
      </c>
      <c r="AP605" s="92" t="s">
        <v>6936</v>
      </c>
      <c r="AQ605" s="92" t="s">
        <v>3457</v>
      </c>
      <c r="AR605" s="93">
        <v>44263</v>
      </c>
      <c r="AS605" s="92" t="s">
        <v>3457</v>
      </c>
      <c r="AT605" s="93">
        <v>44271</v>
      </c>
      <c r="AU605" s="1108" t="s">
        <v>37</v>
      </c>
    </row>
    <row r="606" spans="1:47" ht="39.75" thickBot="1" x14ac:dyDescent="0.3">
      <c r="A606" s="345" t="s">
        <v>1919</v>
      </c>
      <c r="B606" s="331" t="s">
        <v>1929</v>
      </c>
      <c r="C606" s="83">
        <v>255</v>
      </c>
      <c r="D606" s="588" t="s">
        <v>57</v>
      </c>
      <c r="E606" s="588"/>
      <c r="F606" s="83" t="s">
        <v>668</v>
      </c>
      <c r="G606" s="268" t="s">
        <v>1238</v>
      </c>
      <c r="H606" s="199" t="s">
        <v>1447</v>
      </c>
      <c r="I606" s="395" t="s">
        <v>5519</v>
      </c>
      <c r="J606" s="87">
        <v>262</v>
      </c>
      <c r="K606" s="360" t="s">
        <v>1930</v>
      </c>
      <c r="L606" s="198">
        <v>1830005.9506000001</v>
      </c>
      <c r="M606" s="198">
        <v>5632792.2566999998</v>
      </c>
      <c r="N606" s="199"/>
      <c r="O606" s="199" t="s">
        <v>1448</v>
      </c>
      <c r="P606" s="83" t="s">
        <v>193</v>
      </c>
      <c r="Q606" s="1088"/>
      <c r="R606" s="1088"/>
      <c r="S606" s="1088"/>
      <c r="T606" s="332" t="s">
        <v>1447</v>
      </c>
      <c r="U606" s="86" t="s">
        <v>10</v>
      </c>
      <c r="V606" s="86" t="s">
        <v>16</v>
      </c>
      <c r="W606" s="86" t="s">
        <v>16</v>
      </c>
      <c r="X606" s="86" t="s">
        <v>194</v>
      </c>
      <c r="Y606" s="86" t="s">
        <v>1931</v>
      </c>
      <c r="Z606" s="92" t="s">
        <v>1932</v>
      </c>
      <c r="AA606" s="86">
        <v>2</v>
      </c>
      <c r="AB606" s="86" t="s">
        <v>1933</v>
      </c>
      <c r="AC606" s="86">
        <v>21.45</v>
      </c>
      <c r="AD606" s="86">
        <v>17.600000000000001</v>
      </c>
      <c r="AE606" s="86">
        <v>26.7</v>
      </c>
      <c r="AF606" s="86"/>
      <c r="AG606" s="387"/>
      <c r="AH606" s="387"/>
      <c r="AI606" s="94" t="s">
        <v>256</v>
      </c>
      <c r="AJ606" s="106"/>
      <c r="AK606" s="106"/>
      <c r="AL606" s="387"/>
      <c r="AM606" s="387"/>
      <c r="AN606" s="92" t="s">
        <v>1934</v>
      </c>
      <c r="AO606" s="92" t="s">
        <v>6983</v>
      </c>
      <c r="AP606" s="92" t="s">
        <v>1927</v>
      </c>
      <c r="AQ606" s="92" t="s">
        <v>37</v>
      </c>
      <c r="AR606" s="93">
        <v>44245</v>
      </c>
      <c r="AS606" s="92" t="s">
        <v>37</v>
      </c>
      <c r="AT606" s="368"/>
      <c r="AU606" s="1108"/>
    </row>
    <row r="607" spans="1:47" ht="26.25" x14ac:dyDescent="0.25">
      <c r="A607" s="341" t="s">
        <v>1919</v>
      </c>
      <c r="B607" s="181" t="s">
        <v>1928</v>
      </c>
      <c r="C607" s="125">
        <v>248</v>
      </c>
      <c r="D607" s="585" t="s">
        <v>57</v>
      </c>
      <c r="E607" s="585"/>
      <c r="F607" s="125" t="s">
        <v>668</v>
      </c>
      <c r="G607" s="145" t="s">
        <v>1238</v>
      </c>
      <c r="H607" s="126" t="s">
        <v>5518</v>
      </c>
      <c r="I607" s="247" t="s">
        <v>150</v>
      </c>
      <c r="J607" s="189">
        <v>261</v>
      </c>
      <c r="K607" s="355" t="s">
        <v>1920</v>
      </c>
      <c r="L607" s="911">
        <v>1833296.0256000001</v>
      </c>
      <c r="M607" s="911">
        <v>5636152.3934000004</v>
      </c>
      <c r="N607" s="126"/>
      <c r="O607" s="126" t="s">
        <v>1921</v>
      </c>
      <c r="P607" s="125" t="s">
        <v>193</v>
      </c>
      <c r="Q607" s="558"/>
      <c r="R607" s="558"/>
      <c r="S607" s="558"/>
      <c r="T607" s="344" t="s">
        <v>2264</v>
      </c>
      <c r="U607" s="31" t="s">
        <v>10</v>
      </c>
      <c r="V607" s="31" t="s">
        <v>10</v>
      </c>
      <c r="W607" s="31" t="s">
        <v>10</v>
      </c>
      <c r="X607" s="31" t="s">
        <v>193</v>
      </c>
      <c r="Y607" s="31" t="s">
        <v>1922</v>
      </c>
      <c r="Z607" s="40" t="s">
        <v>1923</v>
      </c>
      <c r="AA607" s="31">
        <v>1</v>
      </c>
      <c r="AB607" s="31" t="s">
        <v>1924</v>
      </c>
      <c r="AC607" s="31">
        <v>13.8</v>
      </c>
      <c r="AD607" s="31">
        <v>13.5</v>
      </c>
      <c r="AE607" s="31">
        <v>14.1</v>
      </c>
      <c r="AF607" s="31"/>
      <c r="AG607" s="372"/>
      <c r="AH607" s="372"/>
      <c r="AI607" s="30" t="s">
        <v>1915</v>
      </c>
      <c r="AJ607" s="130"/>
      <c r="AK607" s="130"/>
      <c r="AL607" s="372"/>
      <c r="AM607" s="372"/>
      <c r="AN607" s="40" t="s">
        <v>1925</v>
      </c>
      <c r="AO607" s="40" t="s">
        <v>1926</v>
      </c>
      <c r="AP607" s="40" t="s">
        <v>1927</v>
      </c>
      <c r="AQ607" s="40" t="s">
        <v>37</v>
      </c>
      <c r="AR607" s="41">
        <v>44104</v>
      </c>
      <c r="AS607" s="40" t="s">
        <v>37</v>
      </c>
      <c r="AT607" s="54"/>
      <c r="AU607" s="652"/>
    </row>
    <row r="608" spans="1:47" ht="27" thickBot="1" x14ac:dyDescent="0.3">
      <c r="A608" s="336"/>
      <c r="B608" s="196"/>
      <c r="C608" s="96"/>
      <c r="D608" s="566"/>
      <c r="E608" s="566"/>
      <c r="F608" s="96"/>
      <c r="G608" s="147"/>
      <c r="H608" s="107"/>
      <c r="I608" s="123"/>
      <c r="J608" s="190">
        <v>263</v>
      </c>
      <c r="K608" s="357" t="s">
        <v>1935</v>
      </c>
      <c r="L608" s="912">
        <v>1833315.3696999999</v>
      </c>
      <c r="M608" s="912">
        <v>5636943.3490000004</v>
      </c>
      <c r="N608" s="107"/>
      <c r="O608" s="107" t="s">
        <v>1936</v>
      </c>
      <c r="P608" s="96" t="s">
        <v>193</v>
      </c>
      <c r="Q608" s="559"/>
      <c r="R608" s="559"/>
      <c r="S608" s="559"/>
      <c r="T608" s="127" t="s">
        <v>2265</v>
      </c>
      <c r="U608" s="25" t="s">
        <v>85</v>
      </c>
      <c r="V608" s="25" t="s">
        <v>85</v>
      </c>
      <c r="W608" s="25" t="s">
        <v>85</v>
      </c>
      <c r="X608" s="25" t="s">
        <v>193</v>
      </c>
      <c r="Y608" s="25" t="s">
        <v>1937</v>
      </c>
      <c r="Z608" s="52" t="s">
        <v>1938</v>
      </c>
      <c r="AA608" s="25">
        <v>1</v>
      </c>
      <c r="AB608" s="25" t="s">
        <v>1939</v>
      </c>
      <c r="AC608" s="25">
        <v>144</v>
      </c>
      <c r="AD608" s="25">
        <v>57</v>
      </c>
      <c r="AE608" s="25">
        <v>230</v>
      </c>
      <c r="AF608" s="25"/>
      <c r="AG608" s="386"/>
      <c r="AH608" s="386"/>
      <c r="AI608" s="51" t="s">
        <v>256</v>
      </c>
      <c r="AJ608" s="105"/>
      <c r="AK608" s="105"/>
      <c r="AL608" s="386"/>
      <c r="AM608" s="386"/>
      <c r="AN608" s="52" t="s">
        <v>1940</v>
      </c>
      <c r="AO608" s="52" t="s">
        <v>1941</v>
      </c>
      <c r="AP608" s="52" t="s">
        <v>1942</v>
      </c>
      <c r="AQ608" s="52" t="s">
        <v>37</v>
      </c>
      <c r="AR608" s="53">
        <v>44245</v>
      </c>
      <c r="AS608" s="52" t="s">
        <v>37</v>
      </c>
      <c r="AT608" s="367"/>
      <c r="AU608" s="653"/>
    </row>
    <row r="609" spans="1:47" s="478" customFormat="1" ht="39" x14ac:dyDescent="0.25">
      <c r="A609" s="807" t="s">
        <v>3534</v>
      </c>
      <c r="B609" s="349" t="s">
        <v>3534</v>
      </c>
      <c r="C609" s="157">
        <v>484</v>
      </c>
      <c r="D609" s="592" t="s">
        <v>52</v>
      </c>
      <c r="E609" s="592" t="s">
        <v>53</v>
      </c>
      <c r="F609" s="157" t="s">
        <v>4679</v>
      </c>
      <c r="G609" s="157" t="s">
        <v>1973</v>
      </c>
      <c r="H609" s="159" t="s">
        <v>5306</v>
      </c>
      <c r="I609" s="450" t="s">
        <v>5591</v>
      </c>
      <c r="J609" s="193">
        <v>2113</v>
      </c>
      <c r="K609" s="433" t="s">
        <v>6340</v>
      </c>
      <c r="L609" s="955">
        <v>1817305.1270999999</v>
      </c>
      <c r="M609" s="955">
        <v>5543770.4451000001</v>
      </c>
      <c r="N609" s="159"/>
      <c r="O609" s="159" t="s">
        <v>5805</v>
      </c>
      <c r="P609" s="159" t="s">
        <v>194</v>
      </c>
      <c r="Q609" s="640"/>
      <c r="R609" s="640"/>
      <c r="S609" s="640"/>
      <c r="T609" s="641" t="s">
        <v>5807</v>
      </c>
      <c r="U609" s="288" t="s">
        <v>10</v>
      </c>
      <c r="V609" s="97" t="s">
        <v>16</v>
      </c>
      <c r="W609" s="97" t="s">
        <v>16</v>
      </c>
      <c r="X609" s="97" t="s">
        <v>194</v>
      </c>
      <c r="Y609" s="302" t="s">
        <v>5802</v>
      </c>
      <c r="Z609" s="40" t="s">
        <v>3496</v>
      </c>
      <c r="AA609" s="97">
        <v>1</v>
      </c>
      <c r="AB609" s="302" t="s">
        <v>3465</v>
      </c>
      <c r="AC609" s="97">
        <v>24</v>
      </c>
      <c r="AD609" s="97"/>
      <c r="AE609" s="97"/>
      <c r="AF609" s="97">
        <v>12</v>
      </c>
      <c r="AG609" s="97"/>
      <c r="AH609" s="97"/>
      <c r="AI609" s="30" t="s">
        <v>256</v>
      </c>
      <c r="AJ609" s="97" t="s">
        <v>13</v>
      </c>
      <c r="AK609" s="97"/>
      <c r="AL609" s="97"/>
      <c r="AM609" s="97"/>
      <c r="AN609" s="40" t="s">
        <v>3533</v>
      </c>
      <c r="AO609" s="40" t="s">
        <v>3532</v>
      </c>
      <c r="AP609" s="40" t="s">
        <v>6923</v>
      </c>
      <c r="AQ609" s="40" t="s">
        <v>3457</v>
      </c>
      <c r="AR609" s="41">
        <v>44245</v>
      </c>
      <c r="AS609" s="40" t="s">
        <v>3457</v>
      </c>
      <c r="AT609" s="285">
        <v>44270</v>
      </c>
      <c r="AU609" s="284" t="s">
        <v>37</v>
      </c>
    </row>
    <row r="610" spans="1:47" ht="26.25" x14ac:dyDescent="0.25">
      <c r="A610" s="808"/>
      <c r="B610" s="550"/>
      <c r="C610" s="161"/>
      <c r="D610" s="573"/>
      <c r="E610" s="573"/>
      <c r="F610" s="161"/>
      <c r="G610" s="161"/>
      <c r="H610" s="163"/>
      <c r="I610" s="423"/>
      <c r="J610" s="194">
        <v>2114</v>
      </c>
      <c r="K610" s="475" t="s">
        <v>3531</v>
      </c>
      <c r="L610" s="956">
        <v>1817670.0268999999</v>
      </c>
      <c r="M610" s="956">
        <v>5545127.6579999998</v>
      </c>
      <c r="N610" s="583"/>
      <c r="O610" s="583" t="s">
        <v>1867</v>
      </c>
      <c r="P610" s="583" t="s">
        <v>194</v>
      </c>
      <c r="Q610" s="642"/>
      <c r="R610" s="642"/>
      <c r="S610" s="642"/>
      <c r="T610" s="612" t="s">
        <v>5808</v>
      </c>
      <c r="U610" s="282" t="s">
        <v>10</v>
      </c>
      <c r="V610" s="185" t="s">
        <v>16</v>
      </c>
      <c r="W610" s="185" t="s">
        <v>16</v>
      </c>
      <c r="X610" s="185" t="s">
        <v>194</v>
      </c>
      <c r="Y610" s="304" t="s">
        <v>5803</v>
      </c>
      <c r="Z610" s="3" t="s">
        <v>3530</v>
      </c>
      <c r="AA610" s="185">
        <v>1</v>
      </c>
      <c r="AB610" s="304" t="s">
        <v>3503</v>
      </c>
      <c r="AC610" s="185">
        <v>339</v>
      </c>
      <c r="AD610" s="185"/>
      <c r="AE610" s="185"/>
      <c r="AF610" s="185">
        <v>303</v>
      </c>
      <c r="AG610" s="185"/>
      <c r="AH610" s="185"/>
      <c r="AI610" s="16" t="s">
        <v>256</v>
      </c>
      <c r="AJ610" s="185" t="s">
        <v>3502</v>
      </c>
      <c r="AK610" s="185"/>
      <c r="AL610" s="185"/>
      <c r="AM610" s="185"/>
      <c r="AN610" s="3" t="s">
        <v>5800</v>
      </c>
      <c r="AO610" s="3" t="s">
        <v>3501</v>
      </c>
      <c r="AP610" s="3" t="s">
        <v>6923</v>
      </c>
      <c r="AQ610" s="3" t="s">
        <v>3457</v>
      </c>
      <c r="AR610" s="186">
        <v>44245</v>
      </c>
      <c r="AS610" s="3" t="s">
        <v>3457</v>
      </c>
      <c r="AT610" s="279">
        <v>44270</v>
      </c>
      <c r="AU610" s="278" t="s">
        <v>37</v>
      </c>
    </row>
    <row r="611" spans="1:47" ht="26.25" x14ac:dyDescent="0.25">
      <c r="A611" s="808"/>
      <c r="B611" s="550"/>
      <c r="C611" s="161"/>
      <c r="D611" s="573"/>
      <c r="E611" s="573"/>
      <c r="F611" s="161"/>
      <c r="G611" s="161"/>
      <c r="H611" s="163"/>
      <c r="I611" s="423"/>
      <c r="J611" s="194">
        <v>2115</v>
      </c>
      <c r="K611" s="475" t="s">
        <v>3529</v>
      </c>
      <c r="L611" s="956">
        <v>1817797.5193</v>
      </c>
      <c r="M611" s="956">
        <v>5545327.9072000002</v>
      </c>
      <c r="N611" s="583"/>
      <c r="O611" s="583" t="s">
        <v>3528</v>
      </c>
      <c r="P611" s="583" t="s">
        <v>194</v>
      </c>
      <c r="Q611" s="642"/>
      <c r="R611" s="642"/>
      <c r="S611" s="642"/>
      <c r="T611" s="612" t="s">
        <v>5809</v>
      </c>
      <c r="U611" s="282" t="s">
        <v>10</v>
      </c>
      <c r="V611" s="185" t="s">
        <v>16</v>
      </c>
      <c r="W611" s="185" t="s">
        <v>16</v>
      </c>
      <c r="X611" s="185" t="s">
        <v>194</v>
      </c>
      <c r="Y611" s="304" t="s">
        <v>834</v>
      </c>
      <c r="Z611" s="16" t="s">
        <v>3496</v>
      </c>
      <c r="AA611" s="617">
        <v>1</v>
      </c>
      <c r="AB611" s="619" t="s">
        <v>3465</v>
      </c>
      <c r="AC611" s="617">
        <v>24</v>
      </c>
      <c r="AD611" s="617"/>
      <c r="AE611" s="617"/>
      <c r="AF611" s="617">
        <v>12</v>
      </c>
      <c r="AG611" s="617"/>
      <c r="AH611" s="617"/>
      <c r="AI611" s="444" t="s">
        <v>256</v>
      </c>
      <c r="AJ611" s="617" t="s">
        <v>13</v>
      </c>
      <c r="AK611" s="617"/>
      <c r="AL611" s="617"/>
      <c r="AM611" s="617"/>
      <c r="AN611" s="445" t="s">
        <v>6338</v>
      </c>
      <c r="AO611" s="445" t="s">
        <v>6339</v>
      </c>
      <c r="AP611" s="3" t="s">
        <v>6923</v>
      </c>
      <c r="AQ611" s="3" t="s">
        <v>3457</v>
      </c>
      <c r="AR611" s="186">
        <v>44320</v>
      </c>
      <c r="AS611" s="3" t="s">
        <v>3457</v>
      </c>
      <c r="AT611" s="279">
        <v>44321</v>
      </c>
      <c r="AU611" s="278" t="s">
        <v>37</v>
      </c>
    </row>
    <row r="612" spans="1:47" ht="26.25" x14ac:dyDescent="0.25">
      <c r="A612" s="808"/>
      <c r="B612" s="550"/>
      <c r="C612" s="161"/>
      <c r="D612" s="573"/>
      <c r="E612" s="573"/>
      <c r="F612" s="161"/>
      <c r="G612" s="161"/>
      <c r="H612" s="163"/>
      <c r="I612" s="423"/>
      <c r="J612" s="194">
        <v>2116</v>
      </c>
      <c r="K612" s="475" t="s">
        <v>3527</v>
      </c>
      <c r="L612" s="956">
        <v>1818840.6416</v>
      </c>
      <c r="M612" s="956">
        <v>5546897.1124</v>
      </c>
      <c r="N612" s="583"/>
      <c r="O612" s="583" t="s">
        <v>3518</v>
      </c>
      <c r="P612" s="583" t="s">
        <v>194</v>
      </c>
      <c r="Q612" s="642"/>
      <c r="R612" s="642"/>
      <c r="S612" s="642"/>
      <c r="T612" s="612" t="s">
        <v>5810</v>
      </c>
      <c r="U612" s="282" t="s">
        <v>10</v>
      </c>
      <c r="V612" s="185" t="s">
        <v>16</v>
      </c>
      <c r="W612" s="185" t="s">
        <v>16</v>
      </c>
      <c r="X612" s="185" t="s">
        <v>194</v>
      </c>
      <c r="Y612" s="304" t="s">
        <v>3521</v>
      </c>
      <c r="Z612" s="3" t="s">
        <v>3507</v>
      </c>
      <c r="AA612" s="185">
        <v>2</v>
      </c>
      <c r="AB612" s="304" t="s">
        <v>3503</v>
      </c>
      <c r="AC612" s="185">
        <v>339</v>
      </c>
      <c r="AD612" s="185"/>
      <c r="AE612" s="185"/>
      <c r="AF612" s="185">
        <v>303</v>
      </c>
      <c r="AG612" s="185"/>
      <c r="AH612" s="185"/>
      <c r="AI612" s="16" t="s">
        <v>256</v>
      </c>
      <c r="AJ612" s="185" t="s">
        <v>3502</v>
      </c>
      <c r="AK612" s="185"/>
      <c r="AL612" s="185"/>
      <c r="AM612" s="185"/>
      <c r="AN612" s="3" t="s">
        <v>5801</v>
      </c>
      <c r="AO612" s="280" t="s">
        <v>3506</v>
      </c>
      <c r="AP612" s="3" t="s">
        <v>6923</v>
      </c>
      <c r="AQ612" s="3" t="s">
        <v>3457</v>
      </c>
      <c r="AR612" s="186">
        <v>44245</v>
      </c>
      <c r="AS612" s="3" t="s">
        <v>3457</v>
      </c>
      <c r="AT612" s="279">
        <v>44270</v>
      </c>
      <c r="AU612" s="278" t="s">
        <v>37</v>
      </c>
    </row>
    <row r="613" spans="1:47" ht="26.25" x14ac:dyDescent="0.25">
      <c r="A613" s="808"/>
      <c r="B613" s="550"/>
      <c r="C613" s="161"/>
      <c r="D613" s="573"/>
      <c r="E613" s="573"/>
      <c r="F613" s="161"/>
      <c r="G613" s="161"/>
      <c r="H613" s="163"/>
      <c r="I613" s="423"/>
      <c r="J613" s="194">
        <v>2117</v>
      </c>
      <c r="K613" s="475" t="s">
        <v>5687</v>
      </c>
      <c r="L613" s="956">
        <v>1818863.4309</v>
      </c>
      <c r="M613" s="956">
        <v>5546927.0234000003</v>
      </c>
      <c r="N613" s="583"/>
      <c r="O613" s="583" t="s">
        <v>3541</v>
      </c>
      <c r="P613" s="583" t="s">
        <v>194</v>
      </c>
      <c r="Q613" s="642"/>
      <c r="R613" s="642"/>
      <c r="S613" s="642"/>
      <c r="T613" s="612" t="s">
        <v>5811</v>
      </c>
      <c r="U613" s="282" t="s">
        <v>10</v>
      </c>
      <c r="V613" s="185" t="s">
        <v>16</v>
      </c>
      <c r="W613" s="185" t="s">
        <v>16</v>
      </c>
      <c r="X613" s="185" t="s">
        <v>194</v>
      </c>
      <c r="Y613" s="304" t="s">
        <v>3500</v>
      </c>
      <c r="Z613" s="3" t="s">
        <v>3496</v>
      </c>
      <c r="AA613" s="185">
        <v>1</v>
      </c>
      <c r="AB613" s="304" t="s">
        <v>3465</v>
      </c>
      <c r="AC613" s="185">
        <v>24</v>
      </c>
      <c r="AD613" s="185"/>
      <c r="AE613" s="185"/>
      <c r="AF613" s="185">
        <v>12</v>
      </c>
      <c r="AG613" s="185"/>
      <c r="AH613" s="185"/>
      <c r="AI613" s="16" t="s">
        <v>256</v>
      </c>
      <c r="AJ613" s="185" t="s">
        <v>13</v>
      </c>
      <c r="AK613" s="185"/>
      <c r="AL613" s="185"/>
      <c r="AM613" s="185"/>
      <c r="AN613" s="3" t="s">
        <v>3526</v>
      </c>
      <c r="AO613" s="280" t="s">
        <v>3525</v>
      </c>
      <c r="AP613" s="3" t="s">
        <v>6923</v>
      </c>
      <c r="AQ613" s="3" t="s">
        <v>3457</v>
      </c>
      <c r="AR613" s="186">
        <v>44245</v>
      </c>
      <c r="AS613" s="3" t="s">
        <v>3457</v>
      </c>
      <c r="AT613" s="279">
        <v>44270</v>
      </c>
      <c r="AU613" s="278" t="s">
        <v>37</v>
      </c>
    </row>
    <row r="614" spans="1:47" ht="27" thickBot="1" x14ac:dyDescent="0.3">
      <c r="A614" s="809"/>
      <c r="B614" s="174"/>
      <c r="C614" s="165"/>
      <c r="D614" s="574"/>
      <c r="E614" s="574"/>
      <c r="F614" s="165"/>
      <c r="G614" s="165"/>
      <c r="H614" s="167"/>
      <c r="I614" s="424"/>
      <c r="J614" s="195">
        <v>2118</v>
      </c>
      <c r="K614" s="435" t="s">
        <v>3524</v>
      </c>
      <c r="L614" s="957">
        <v>1822588.3870999999</v>
      </c>
      <c r="M614" s="957">
        <v>5552451.0208999999</v>
      </c>
      <c r="N614" s="167"/>
      <c r="O614" s="167" t="s">
        <v>5806</v>
      </c>
      <c r="P614" s="167" t="s">
        <v>194</v>
      </c>
      <c r="Q614" s="643"/>
      <c r="R614" s="643"/>
      <c r="S614" s="643"/>
      <c r="T614" s="644" t="s">
        <v>5812</v>
      </c>
      <c r="U614" s="273" t="s">
        <v>10</v>
      </c>
      <c r="V614" s="120" t="s">
        <v>16</v>
      </c>
      <c r="W614" s="120" t="s">
        <v>16</v>
      </c>
      <c r="X614" s="120" t="s">
        <v>194</v>
      </c>
      <c r="Y614" s="317" t="s">
        <v>5804</v>
      </c>
      <c r="Z614" s="52" t="s">
        <v>3523</v>
      </c>
      <c r="AA614" s="120">
        <v>1</v>
      </c>
      <c r="AB614" s="317" t="s">
        <v>3484</v>
      </c>
      <c r="AC614" s="120">
        <v>128</v>
      </c>
      <c r="AD614" s="120"/>
      <c r="AE614" s="120"/>
      <c r="AF614" s="120">
        <v>71</v>
      </c>
      <c r="AG614" s="120"/>
      <c r="AH614" s="120"/>
      <c r="AI614" s="51" t="s">
        <v>256</v>
      </c>
      <c r="AJ614" s="120" t="s">
        <v>13</v>
      </c>
      <c r="AK614" s="120"/>
      <c r="AL614" s="120"/>
      <c r="AM614" s="120"/>
      <c r="AN614" s="52" t="s">
        <v>3510</v>
      </c>
      <c r="AO614" s="271" t="s">
        <v>3522</v>
      </c>
      <c r="AP614" s="52" t="s">
        <v>6923</v>
      </c>
      <c r="AQ614" s="52" t="s">
        <v>3457</v>
      </c>
      <c r="AR614" s="53">
        <v>44245</v>
      </c>
      <c r="AS614" s="52" t="s">
        <v>3457</v>
      </c>
      <c r="AT614" s="270">
        <v>44270</v>
      </c>
      <c r="AU614" s="269" t="s">
        <v>37</v>
      </c>
    </row>
    <row r="615" spans="1:47" s="211" customFormat="1" ht="27" thickBot="1" x14ac:dyDescent="0.3">
      <c r="A615" s="1045" t="s">
        <v>1166</v>
      </c>
      <c r="B615" s="700" t="s">
        <v>1166</v>
      </c>
      <c r="C615" s="217">
        <v>254</v>
      </c>
      <c r="D615" s="594" t="s">
        <v>57</v>
      </c>
      <c r="E615" s="594"/>
      <c r="F615" s="26" t="s">
        <v>4679</v>
      </c>
      <c r="G615" s="607" t="s">
        <v>1238</v>
      </c>
      <c r="H615" s="491" t="s">
        <v>5939</v>
      </c>
      <c r="I615" s="29" t="s">
        <v>5879</v>
      </c>
      <c r="J615" s="263">
        <v>213</v>
      </c>
      <c r="K615" s="467" t="s">
        <v>1167</v>
      </c>
      <c r="L615" s="918">
        <v>1802349.3428</v>
      </c>
      <c r="M615" s="918">
        <v>5642849.0104</v>
      </c>
      <c r="N615" s="264"/>
      <c r="O615" s="264" t="s">
        <v>1168</v>
      </c>
      <c r="P615" s="264" t="s">
        <v>193</v>
      </c>
      <c r="Q615" s="264"/>
      <c r="R615" s="264"/>
      <c r="S615" s="264"/>
      <c r="T615" s="1093" t="s">
        <v>2266</v>
      </c>
      <c r="U615" s="206" t="s">
        <v>16</v>
      </c>
      <c r="V615" s="204" t="s">
        <v>16</v>
      </c>
      <c r="W615" s="204" t="s">
        <v>16</v>
      </c>
      <c r="X615" s="176" t="s">
        <v>193</v>
      </c>
      <c r="Y615" s="204" t="s">
        <v>1169</v>
      </c>
      <c r="Z615" s="208" t="s">
        <v>1170</v>
      </c>
      <c r="AA615" s="176">
        <v>1</v>
      </c>
      <c r="AB615" s="176" t="s">
        <v>1171</v>
      </c>
      <c r="AC615" s="204">
        <v>2.02</v>
      </c>
      <c r="AD615" s="204">
        <v>2.34</v>
      </c>
      <c r="AE615" s="204">
        <v>1.7</v>
      </c>
      <c r="AF615" s="204"/>
      <c r="AG615" s="204"/>
      <c r="AH615" s="204"/>
      <c r="AI615" s="207" t="s">
        <v>549</v>
      </c>
      <c r="AJ615" s="205"/>
      <c r="AK615" s="205"/>
      <c r="AL615" s="353"/>
      <c r="AM615" s="353"/>
      <c r="AN615" s="207" t="s">
        <v>1172</v>
      </c>
      <c r="AO615" s="207" t="s">
        <v>1173</v>
      </c>
      <c r="AP615" s="208" t="s">
        <v>1165</v>
      </c>
      <c r="AQ615" s="208" t="s">
        <v>37</v>
      </c>
      <c r="AR615" s="209">
        <v>44091</v>
      </c>
      <c r="AS615" s="208" t="s">
        <v>37</v>
      </c>
      <c r="AT615" s="364"/>
      <c r="AU615" s="1109"/>
    </row>
    <row r="616" spans="1:47" s="211" customFormat="1" ht="39.75" thickBot="1" x14ac:dyDescent="0.3">
      <c r="A616" s="1048"/>
      <c r="B616" s="1049"/>
      <c r="C616" s="220"/>
      <c r="D616" s="579"/>
      <c r="E616" s="579"/>
      <c r="F616" s="220"/>
      <c r="G616" s="221"/>
      <c r="H616" s="504"/>
      <c r="I616" s="608"/>
      <c r="J616" s="263">
        <v>876</v>
      </c>
      <c r="K616" s="467" t="s">
        <v>6122</v>
      </c>
      <c r="L616" s="918">
        <v>1802723.6366999999</v>
      </c>
      <c r="M616" s="918">
        <v>5649164.6300999997</v>
      </c>
      <c r="N616" s="264"/>
      <c r="O616" s="264" t="s">
        <v>6123</v>
      </c>
      <c r="P616" s="264" t="s">
        <v>193</v>
      </c>
      <c r="Q616" s="264"/>
      <c r="R616" s="264"/>
      <c r="S616" s="264"/>
      <c r="T616" s="1093" t="s">
        <v>5939</v>
      </c>
      <c r="U616" s="206" t="s">
        <v>10</v>
      </c>
      <c r="V616" s="204" t="s">
        <v>16</v>
      </c>
      <c r="W616" s="204" t="s">
        <v>16</v>
      </c>
      <c r="X616" s="176" t="s">
        <v>194</v>
      </c>
      <c r="Y616" s="204" t="s">
        <v>6124</v>
      </c>
      <c r="Z616" s="208" t="s">
        <v>6125</v>
      </c>
      <c r="AA616" s="176">
        <v>1</v>
      </c>
      <c r="AB616" s="176" t="s">
        <v>6120</v>
      </c>
      <c r="AC616" s="204">
        <v>59.5</v>
      </c>
      <c r="AD616" s="204">
        <f>59.5-14.5</f>
        <v>45</v>
      </c>
      <c r="AE616" s="204">
        <f>59.5+14.5</f>
        <v>74</v>
      </c>
      <c r="AF616" s="204"/>
      <c r="AG616" s="204"/>
      <c r="AH616" s="204"/>
      <c r="AI616" s="207" t="s">
        <v>256</v>
      </c>
      <c r="AJ616" s="205"/>
      <c r="AK616" s="205"/>
      <c r="AL616" s="353"/>
      <c r="AM616" s="353"/>
      <c r="AN616" s="207" t="s">
        <v>6084</v>
      </c>
      <c r="AO616" s="208" t="s">
        <v>6294</v>
      </c>
      <c r="AP616" s="208" t="s">
        <v>6121</v>
      </c>
      <c r="AQ616" s="208" t="s">
        <v>37</v>
      </c>
      <c r="AR616" s="209">
        <v>44316</v>
      </c>
      <c r="AS616" s="208"/>
      <c r="AT616" s="364"/>
      <c r="AU616" s="1109"/>
    </row>
    <row r="617" spans="1:47" s="211" customFormat="1" ht="65.25" thickBot="1" x14ac:dyDescent="0.3">
      <c r="A617" s="334" t="s">
        <v>1910</v>
      </c>
      <c r="B617" s="333" t="s">
        <v>1910</v>
      </c>
      <c r="C617" s="84">
        <v>358</v>
      </c>
      <c r="D617" s="591" t="s">
        <v>57</v>
      </c>
      <c r="E617" s="591"/>
      <c r="F617" s="84" t="s">
        <v>668</v>
      </c>
      <c r="G617" s="354" t="s">
        <v>4996</v>
      </c>
      <c r="H617" s="109" t="s">
        <v>5491</v>
      </c>
      <c r="I617" s="124" t="s">
        <v>150</v>
      </c>
      <c r="J617" s="89">
        <v>260</v>
      </c>
      <c r="K617" s="396" t="s">
        <v>1911</v>
      </c>
      <c r="L617" s="265">
        <v>2025559.8491</v>
      </c>
      <c r="M617" s="265">
        <v>5720332.9528000001</v>
      </c>
      <c r="N617" s="109"/>
      <c r="O617" s="109" t="s">
        <v>1912</v>
      </c>
      <c r="P617" s="109" t="s">
        <v>193</v>
      </c>
      <c r="Q617" s="109"/>
      <c r="R617" s="109"/>
      <c r="S617" s="109"/>
      <c r="T617" s="343" t="s">
        <v>2267</v>
      </c>
      <c r="U617" s="204" t="s">
        <v>16</v>
      </c>
      <c r="V617" s="204" t="s">
        <v>16</v>
      </c>
      <c r="W617" s="204" t="s">
        <v>16</v>
      </c>
      <c r="X617" s="176" t="s">
        <v>194</v>
      </c>
      <c r="Y617" s="204" t="s">
        <v>1913</v>
      </c>
      <c r="Z617" s="208" t="s">
        <v>1239</v>
      </c>
      <c r="AA617" s="176">
        <v>1</v>
      </c>
      <c r="AB617" s="176" t="s">
        <v>1914</v>
      </c>
      <c r="AC617" s="204"/>
      <c r="AD617" s="204">
        <v>13.47</v>
      </c>
      <c r="AE617" s="204">
        <v>13.8</v>
      </c>
      <c r="AF617" s="204"/>
      <c r="AG617" s="204"/>
      <c r="AH617" s="204"/>
      <c r="AI617" s="207" t="s">
        <v>1915</v>
      </c>
      <c r="AJ617" s="205"/>
      <c r="AK617" s="205"/>
      <c r="AL617" s="353"/>
      <c r="AM617" s="353"/>
      <c r="AN617" s="207" t="s">
        <v>1916</v>
      </c>
      <c r="AO617" s="207" t="s">
        <v>1917</v>
      </c>
      <c r="AP617" s="208" t="s">
        <v>1918</v>
      </c>
      <c r="AQ617" s="208" t="s">
        <v>37</v>
      </c>
      <c r="AR617" s="209">
        <v>44103</v>
      </c>
      <c r="AS617" s="208" t="s">
        <v>37</v>
      </c>
      <c r="AT617" s="364"/>
      <c r="AU617" s="1109"/>
    </row>
    <row r="618" spans="1:47" s="211" customFormat="1" ht="77.25" x14ac:dyDescent="0.25">
      <c r="A618" s="524" t="s">
        <v>995</v>
      </c>
      <c r="B618" s="81" t="s">
        <v>996</v>
      </c>
      <c r="C618" s="26">
        <v>404</v>
      </c>
      <c r="D618" s="594" t="s">
        <v>52</v>
      </c>
      <c r="E618" s="594"/>
      <c r="F618" s="26" t="s">
        <v>906</v>
      </c>
      <c r="G618" s="244" t="s">
        <v>1263</v>
      </c>
      <c r="H618" s="491" t="s">
        <v>2244</v>
      </c>
      <c r="I618" s="29" t="s">
        <v>150</v>
      </c>
      <c r="J618" s="501">
        <v>177</v>
      </c>
      <c r="K618" s="60" t="s">
        <v>1019</v>
      </c>
      <c r="L618" s="933">
        <v>1856676.4257</v>
      </c>
      <c r="M618" s="933">
        <v>5446761.8375000004</v>
      </c>
      <c r="N618" s="502"/>
      <c r="O618" s="502" t="s">
        <v>1004</v>
      </c>
      <c r="P618" s="502" t="s">
        <v>194</v>
      </c>
      <c r="Q618" s="502"/>
      <c r="R618" s="502"/>
      <c r="S618" s="502"/>
      <c r="T618" s="722" t="s">
        <v>1014</v>
      </c>
      <c r="U618" s="169" t="s">
        <v>85</v>
      </c>
      <c r="V618" s="151" t="s">
        <v>85</v>
      </c>
      <c r="W618" s="151" t="s">
        <v>85</v>
      </c>
      <c r="X618" s="153" t="s">
        <v>194</v>
      </c>
      <c r="Y618" s="151" t="s">
        <v>1033</v>
      </c>
      <c r="Z618" s="152" t="s">
        <v>933</v>
      </c>
      <c r="AA618" s="153">
        <v>1</v>
      </c>
      <c r="AB618" s="153" t="s">
        <v>954</v>
      </c>
      <c r="AC618" s="151">
        <v>125</v>
      </c>
      <c r="AD618" s="151">
        <v>123</v>
      </c>
      <c r="AE618" s="151">
        <v>127</v>
      </c>
      <c r="AF618" s="151"/>
      <c r="AG618" s="151"/>
      <c r="AH618" s="151"/>
      <c r="AI618" s="203" t="s">
        <v>256</v>
      </c>
      <c r="AJ618" s="202"/>
      <c r="AK618" s="202"/>
      <c r="AL618" s="442"/>
      <c r="AM618" s="442"/>
      <c r="AN618" s="30" t="s">
        <v>955</v>
      </c>
      <c r="AO618" s="30" t="s">
        <v>956</v>
      </c>
      <c r="AP618" s="152" t="s">
        <v>1007</v>
      </c>
      <c r="AQ618" s="152" t="s">
        <v>37</v>
      </c>
      <c r="AR618" s="170">
        <v>44078</v>
      </c>
      <c r="AS618" s="152" t="s">
        <v>37</v>
      </c>
      <c r="AT618" s="361"/>
      <c r="AU618" s="1112"/>
    </row>
    <row r="619" spans="1:47" s="211" customFormat="1" ht="77.25" x14ac:dyDescent="0.25">
      <c r="A619" s="736"/>
      <c r="B619" s="516"/>
      <c r="C619" s="27"/>
      <c r="D619" s="570"/>
      <c r="E619" s="570"/>
      <c r="F619" s="27"/>
      <c r="G619" s="245"/>
      <c r="H619" s="502"/>
      <c r="I619" s="639"/>
      <c r="J619" s="501">
        <v>178</v>
      </c>
      <c r="K619" s="60" t="s">
        <v>1020</v>
      </c>
      <c r="L619" s="933">
        <v>1854975.1614999999</v>
      </c>
      <c r="M619" s="933">
        <v>5445033.0198999997</v>
      </c>
      <c r="N619" s="502"/>
      <c r="O619" s="502" t="s">
        <v>1003</v>
      </c>
      <c r="P619" s="502" t="s">
        <v>194</v>
      </c>
      <c r="Q619" s="502"/>
      <c r="R619" s="502"/>
      <c r="S619" s="502"/>
      <c r="T619" s="722" t="s">
        <v>1041</v>
      </c>
      <c r="U619" s="138" t="s">
        <v>85</v>
      </c>
      <c r="V619" s="136" t="s">
        <v>85</v>
      </c>
      <c r="W619" s="136" t="s">
        <v>85</v>
      </c>
      <c r="X619" s="132" t="s">
        <v>194</v>
      </c>
      <c r="Y619" s="136" t="s">
        <v>1034</v>
      </c>
      <c r="Z619" s="137" t="s">
        <v>933</v>
      </c>
      <c r="AA619" s="132">
        <v>1</v>
      </c>
      <c r="AB619" s="132" t="s">
        <v>954</v>
      </c>
      <c r="AC619" s="136">
        <v>125</v>
      </c>
      <c r="AD619" s="136">
        <v>123</v>
      </c>
      <c r="AE619" s="136">
        <v>127</v>
      </c>
      <c r="AF619" s="136"/>
      <c r="AG619" s="136"/>
      <c r="AH619" s="136"/>
      <c r="AI619" s="180" t="s">
        <v>256</v>
      </c>
      <c r="AJ619" s="173"/>
      <c r="AK619" s="173"/>
      <c r="AL619" s="350"/>
      <c r="AM619" s="350"/>
      <c r="AN619" s="45" t="s">
        <v>955</v>
      </c>
      <c r="AO619" s="45" t="s">
        <v>956</v>
      </c>
      <c r="AP619" s="137" t="s">
        <v>1007</v>
      </c>
      <c r="AQ619" s="137" t="s">
        <v>37</v>
      </c>
      <c r="AR619" s="139">
        <v>44078</v>
      </c>
      <c r="AS619" s="137" t="s">
        <v>37</v>
      </c>
      <c r="AT619" s="358"/>
      <c r="AU619" s="1110"/>
    </row>
    <row r="620" spans="1:47" s="211" customFormat="1" ht="77.25" x14ac:dyDescent="0.25">
      <c r="A620" s="736"/>
      <c r="B620" s="516"/>
      <c r="C620" s="27"/>
      <c r="D620" s="570"/>
      <c r="E620" s="570"/>
      <c r="F620" s="27"/>
      <c r="G620" s="245"/>
      <c r="H620" s="502"/>
      <c r="I620" s="639"/>
      <c r="J620" s="501">
        <v>179</v>
      </c>
      <c r="K620" s="60" t="s">
        <v>1021</v>
      </c>
      <c r="L620" s="933">
        <v>1853713.6094</v>
      </c>
      <c r="M620" s="933">
        <v>5444624.1101000002</v>
      </c>
      <c r="N620" s="502"/>
      <c r="O620" s="502" t="s">
        <v>1004</v>
      </c>
      <c r="P620" s="502" t="s">
        <v>194</v>
      </c>
      <c r="Q620" s="502"/>
      <c r="R620" s="502"/>
      <c r="S620" s="502"/>
      <c r="T620" s="722" t="s">
        <v>1014</v>
      </c>
      <c r="U620" s="138" t="s">
        <v>85</v>
      </c>
      <c r="V620" s="136" t="s">
        <v>85</v>
      </c>
      <c r="W620" s="136" t="s">
        <v>85</v>
      </c>
      <c r="X620" s="132" t="s">
        <v>194</v>
      </c>
      <c r="Y620" s="136" t="s">
        <v>1035</v>
      </c>
      <c r="Z620" s="137" t="s">
        <v>933</v>
      </c>
      <c r="AA620" s="132">
        <v>1</v>
      </c>
      <c r="AB620" s="132" t="s">
        <v>954</v>
      </c>
      <c r="AC620" s="136">
        <v>125</v>
      </c>
      <c r="AD620" s="136">
        <v>123</v>
      </c>
      <c r="AE620" s="136">
        <v>127</v>
      </c>
      <c r="AF620" s="136"/>
      <c r="AG620" s="136"/>
      <c r="AH620" s="136"/>
      <c r="AI620" s="180" t="s">
        <v>256</v>
      </c>
      <c r="AJ620" s="173"/>
      <c r="AK620" s="173"/>
      <c r="AL620" s="350"/>
      <c r="AM620" s="350"/>
      <c r="AN620" s="45" t="s">
        <v>955</v>
      </c>
      <c r="AO620" s="45" t="s">
        <v>956</v>
      </c>
      <c r="AP620" s="137" t="s">
        <v>1007</v>
      </c>
      <c r="AQ620" s="137" t="s">
        <v>37</v>
      </c>
      <c r="AR620" s="139">
        <v>44078</v>
      </c>
      <c r="AS620" s="137" t="s">
        <v>37</v>
      </c>
      <c r="AT620" s="358"/>
      <c r="AU620" s="1110"/>
    </row>
    <row r="621" spans="1:47" s="211" customFormat="1" ht="77.25" x14ac:dyDescent="0.25">
      <c r="A621" s="736"/>
      <c r="B621" s="516"/>
      <c r="C621" s="27"/>
      <c r="D621" s="570"/>
      <c r="E621" s="570"/>
      <c r="F621" s="27"/>
      <c r="G621" s="245"/>
      <c r="H621" s="502"/>
      <c r="I621" s="639"/>
      <c r="J621" s="501">
        <v>180</v>
      </c>
      <c r="K621" s="60" t="s">
        <v>1022</v>
      </c>
      <c r="L621" s="933">
        <v>1852370.8703999999</v>
      </c>
      <c r="M621" s="933">
        <v>5442969.8032999998</v>
      </c>
      <c r="N621" s="502"/>
      <c r="O621" s="502" t="s">
        <v>1004</v>
      </c>
      <c r="P621" s="502" t="s">
        <v>194</v>
      </c>
      <c r="Q621" s="502"/>
      <c r="R621" s="502"/>
      <c r="S621" s="502"/>
      <c r="T621" s="722" t="s">
        <v>1014</v>
      </c>
      <c r="U621" s="138" t="s">
        <v>85</v>
      </c>
      <c r="V621" s="136" t="s">
        <v>85</v>
      </c>
      <c r="W621" s="136" t="s">
        <v>85</v>
      </c>
      <c r="X621" s="132" t="s">
        <v>194</v>
      </c>
      <c r="Y621" s="136" t="s">
        <v>1036</v>
      </c>
      <c r="Z621" s="137" t="s">
        <v>933</v>
      </c>
      <c r="AA621" s="132">
        <v>1</v>
      </c>
      <c r="AB621" s="132" t="s">
        <v>954</v>
      </c>
      <c r="AC621" s="136">
        <v>125</v>
      </c>
      <c r="AD621" s="136">
        <v>123</v>
      </c>
      <c r="AE621" s="136">
        <v>127</v>
      </c>
      <c r="AF621" s="136"/>
      <c r="AG621" s="136"/>
      <c r="AH621" s="136"/>
      <c r="AI621" s="180" t="s">
        <v>256</v>
      </c>
      <c r="AJ621" s="173"/>
      <c r="AK621" s="173"/>
      <c r="AL621" s="350"/>
      <c r="AM621" s="350"/>
      <c r="AN621" s="45" t="s">
        <v>955</v>
      </c>
      <c r="AO621" s="45" t="s">
        <v>956</v>
      </c>
      <c r="AP621" s="137" t="s">
        <v>1007</v>
      </c>
      <c r="AQ621" s="137" t="s">
        <v>37</v>
      </c>
      <c r="AR621" s="139">
        <v>44078</v>
      </c>
      <c r="AS621" s="137" t="s">
        <v>37</v>
      </c>
      <c r="AT621" s="358"/>
      <c r="AU621" s="1110"/>
    </row>
    <row r="622" spans="1:47" s="211" customFormat="1" ht="77.25" x14ac:dyDescent="0.25">
      <c r="A622" s="736"/>
      <c r="B622" s="516"/>
      <c r="C622" s="27"/>
      <c r="D622" s="570"/>
      <c r="E622" s="570"/>
      <c r="F622" s="27"/>
      <c r="G622" s="245"/>
      <c r="H622" s="502"/>
      <c r="I622" s="639"/>
      <c r="J622" s="501">
        <v>181</v>
      </c>
      <c r="K622" s="60" t="s">
        <v>1023</v>
      </c>
      <c r="L622" s="933">
        <v>1851662.8333999999</v>
      </c>
      <c r="M622" s="933">
        <v>5442414.9742999999</v>
      </c>
      <c r="N622" s="502"/>
      <c r="O622" s="502" t="s">
        <v>1006</v>
      </c>
      <c r="P622" s="502" t="s">
        <v>194</v>
      </c>
      <c r="Q622" s="502"/>
      <c r="R622" s="502"/>
      <c r="S622" s="502"/>
      <c r="T622" s="722" t="s">
        <v>1015</v>
      </c>
      <c r="U622" s="138" t="s">
        <v>85</v>
      </c>
      <c r="V622" s="136" t="s">
        <v>85</v>
      </c>
      <c r="W622" s="136" t="s">
        <v>85</v>
      </c>
      <c r="X622" s="132" t="s">
        <v>194</v>
      </c>
      <c r="Y622" s="136" t="s">
        <v>1037</v>
      </c>
      <c r="Z622" s="137" t="s">
        <v>933</v>
      </c>
      <c r="AA622" s="132">
        <v>1</v>
      </c>
      <c r="AB622" s="132" t="s">
        <v>954</v>
      </c>
      <c r="AC622" s="136">
        <v>125</v>
      </c>
      <c r="AD622" s="136">
        <v>123</v>
      </c>
      <c r="AE622" s="136">
        <v>127</v>
      </c>
      <c r="AF622" s="136"/>
      <c r="AG622" s="136"/>
      <c r="AH622" s="136"/>
      <c r="AI622" s="180" t="s">
        <v>256</v>
      </c>
      <c r="AJ622" s="173"/>
      <c r="AK622" s="173"/>
      <c r="AL622" s="350"/>
      <c r="AM622" s="350"/>
      <c r="AN622" s="45" t="s">
        <v>955</v>
      </c>
      <c r="AO622" s="45" t="s">
        <v>956</v>
      </c>
      <c r="AP622" s="137" t="s">
        <v>1007</v>
      </c>
      <c r="AQ622" s="137" t="s">
        <v>37</v>
      </c>
      <c r="AR622" s="139">
        <v>44078</v>
      </c>
      <c r="AS622" s="137" t="s">
        <v>37</v>
      </c>
      <c r="AT622" s="358"/>
      <c r="AU622" s="1110"/>
    </row>
    <row r="623" spans="1:47" s="211" customFormat="1" ht="77.25" x14ac:dyDescent="0.25">
      <c r="A623" s="736"/>
      <c r="B623" s="516"/>
      <c r="C623" s="27"/>
      <c r="D623" s="570"/>
      <c r="E623" s="570"/>
      <c r="F623" s="27"/>
      <c r="G623" s="245"/>
      <c r="H623" s="502"/>
      <c r="I623" s="639"/>
      <c r="J623" s="501">
        <v>182</v>
      </c>
      <c r="K623" s="60" t="s">
        <v>1024</v>
      </c>
      <c r="L623" s="933">
        <v>1849852.182</v>
      </c>
      <c r="M623" s="933">
        <v>5440200.3959999997</v>
      </c>
      <c r="N623" s="502"/>
      <c r="O623" s="502" t="s">
        <v>1005</v>
      </c>
      <c r="P623" s="502" t="s">
        <v>194</v>
      </c>
      <c r="Q623" s="502"/>
      <c r="R623" s="502"/>
      <c r="S623" s="502"/>
      <c r="T623" s="722" t="s">
        <v>1016</v>
      </c>
      <c r="U623" s="138" t="s">
        <v>85</v>
      </c>
      <c r="V623" s="136" t="s">
        <v>85</v>
      </c>
      <c r="W623" s="136" t="s">
        <v>85</v>
      </c>
      <c r="X623" s="132" t="s">
        <v>194</v>
      </c>
      <c r="Y623" s="136" t="s">
        <v>1010</v>
      </c>
      <c r="Z623" s="137" t="s">
        <v>933</v>
      </c>
      <c r="AA623" s="132">
        <v>1</v>
      </c>
      <c r="AB623" s="132" t="s">
        <v>954</v>
      </c>
      <c r="AC623" s="136">
        <v>125</v>
      </c>
      <c r="AD623" s="136">
        <v>123</v>
      </c>
      <c r="AE623" s="136">
        <v>127</v>
      </c>
      <c r="AF623" s="136"/>
      <c r="AG623" s="136"/>
      <c r="AH623" s="136"/>
      <c r="AI623" s="180" t="s">
        <v>256</v>
      </c>
      <c r="AJ623" s="173"/>
      <c r="AK623" s="173"/>
      <c r="AL623" s="350"/>
      <c r="AM623" s="350"/>
      <c r="AN623" s="45" t="s">
        <v>955</v>
      </c>
      <c r="AO623" s="45" t="s">
        <v>956</v>
      </c>
      <c r="AP623" s="137" t="s">
        <v>1007</v>
      </c>
      <c r="AQ623" s="137" t="s">
        <v>37</v>
      </c>
      <c r="AR623" s="139">
        <v>44078</v>
      </c>
      <c r="AS623" s="137" t="s">
        <v>37</v>
      </c>
      <c r="AT623" s="358"/>
      <c r="AU623" s="1110"/>
    </row>
    <row r="624" spans="1:47" s="211" customFormat="1" ht="77.25" x14ac:dyDescent="0.25">
      <c r="A624" s="736"/>
      <c r="B624" s="516"/>
      <c r="C624" s="27"/>
      <c r="D624" s="570"/>
      <c r="E624" s="570"/>
      <c r="F624" s="27"/>
      <c r="G624" s="245"/>
      <c r="H624" s="502"/>
      <c r="I624" s="639"/>
      <c r="J624" s="501">
        <v>183</v>
      </c>
      <c r="K624" s="60" t="s">
        <v>1025</v>
      </c>
      <c r="L624" s="933">
        <v>1847954.726</v>
      </c>
      <c r="M624" s="933">
        <v>5436988.5778000001</v>
      </c>
      <c r="N624" s="502"/>
      <c r="O624" s="502" t="s">
        <v>948</v>
      </c>
      <c r="P624" s="502" t="s">
        <v>194</v>
      </c>
      <c r="Q624" s="502"/>
      <c r="R624" s="502"/>
      <c r="S624" s="502"/>
      <c r="T624" s="722" t="s">
        <v>950</v>
      </c>
      <c r="U624" s="138" t="s">
        <v>85</v>
      </c>
      <c r="V624" s="136" t="s">
        <v>85</v>
      </c>
      <c r="W624" s="136" t="s">
        <v>85</v>
      </c>
      <c r="X624" s="132" t="s">
        <v>194</v>
      </c>
      <c r="Y624" s="136" t="s">
        <v>1038</v>
      </c>
      <c r="Z624" s="137" t="s">
        <v>933</v>
      </c>
      <c r="AA624" s="132">
        <v>1</v>
      </c>
      <c r="AB624" s="132" t="s">
        <v>954</v>
      </c>
      <c r="AC624" s="136">
        <v>125</v>
      </c>
      <c r="AD624" s="136">
        <v>123</v>
      </c>
      <c r="AE624" s="136">
        <v>127</v>
      </c>
      <c r="AF624" s="136"/>
      <c r="AG624" s="136"/>
      <c r="AH624" s="136"/>
      <c r="AI624" s="180" t="s">
        <v>256</v>
      </c>
      <c r="AJ624" s="173"/>
      <c r="AK624" s="173"/>
      <c r="AL624" s="350"/>
      <c r="AM624" s="350"/>
      <c r="AN624" s="45" t="s">
        <v>955</v>
      </c>
      <c r="AO624" s="45" t="s">
        <v>956</v>
      </c>
      <c r="AP624" s="137" t="s">
        <v>1007</v>
      </c>
      <c r="AQ624" s="137" t="s">
        <v>37</v>
      </c>
      <c r="AR624" s="139">
        <v>44078</v>
      </c>
      <c r="AS624" s="137" t="s">
        <v>37</v>
      </c>
      <c r="AT624" s="358"/>
      <c r="AU624" s="1110"/>
    </row>
    <row r="625" spans="1:47" s="211" customFormat="1" ht="77.25" x14ac:dyDescent="0.25">
      <c r="A625" s="736"/>
      <c r="B625" s="516"/>
      <c r="C625" s="27"/>
      <c r="D625" s="570"/>
      <c r="E625" s="570"/>
      <c r="F625" s="27"/>
      <c r="G625" s="245"/>
      <c r="H625" s="502"/>
      <c r="I625" s="639"/>
      <c r="J625" s="501">
        <v>184</v>
      </c>
      <c r="K625" s="60" t="s">
        <v>1026</v>
      </c>
      <c r="L625" s="933">
        <v>1847013.4506999999</v>
      </c>
      <c r="M625" s="933">
        <v>5434898.6070999997</v>
      </c>
      <c r="N625" s="502"/>
      <c r="O625" s="502" t="s">
        <v>1030</v>
      </c>
      <c r="P625" s="502" t="s">
        <v>194</v>
      </c>
      <c r="Q625" s="502"/>
      <c r="R625" s="502"/>
      <c r="S625" s="502"/>
      <c r="T625" s="722" t="s">
        <v>1042</v>
      </c>
      <c r="U625" s="138" t="s">
        <v>85</v>
      </c>
      <c r="V625" s="136" t="s">
        <v>85</v>
      </c>
      <c r="W625" s="136" t="s">
        <v>85</v>
      </c>
      <c r="X625" s="132" t="s">
        <v>194</v>
      </c>
      <c r="Y625" s="136" t="s">
        <v>1039</v>
      </c>
      <c r="Z625" s="137" t="s">
        <v>933</v>
      </c>
      <c r="AA625" s="132">
        <v>1</v>
      </c>
      <c r="AB625" s="132" t="s">
        <v>954</v>
      </c>
      <c r="AC625" s="136">
        <v>125</v>
      </c>
      <c r="AD625" s="136">
        <v>123</v>
      </c>
      <c r="AE625" s="136">
        <v>127</v>
      </c>
      <c r="AF625" s="136"/>
      <c r="AG625" s="136"/>
      <c r="AH625" s="136"/>
      <c r="AI625" s="180" t="s">
        <v>256</v>
      </c>
      <c r="AJ625" s="173"/>
      <c r="AK625" s="173"/>
      <c r="AL625" s="350"/>
      <c r="AM625" s="350"/>
      <c r="AN625" s="45" t="s">
        <v>955</v>
      </c>
      <c r="AO625" s="45" t="s">
        <v>956</v>
      </c>
      <c r="AP625" s="137" t="s">
        <v>1007</v>
      </c>
      <c r="AQ625" s="137" t="s">
        <v>37</v>
      </c>
      <c r="AR625" s="139">
        <v>44078</v>
      </c>
      <c r="AS625" s="137" t="s">
        <v>37</v>
      </c>
      <c r="AT625" s="358"/>
      <c r="AU625" s="1110"/>
    </row>
    <row r="626" spans="1:47" s="211" customFormat="1" ht="77.25" x14ac:dyDescent="0.25">
      <c r="A626" s="736"/>
      <c r="B626" s="516"/>
      <c r="C626" s="27"/>
      <c r="D626" s="570"/>
      <c r="E626" s="570"/>
      <c r="F626" s="27"/>
      <c r="G626" s="245"/>
      <c r="H626" s="502"/>
      <c r="I626" s="639"/>
      <c r="J626" s="501">
        <v>185</v>
      </c>
      <c r="K626" s="60" t="s">
        <v>1027</v>
      </c>
      <c r="L626" s="933">
        <v>1845040.2985</v>
      </c>
      <c r="M626" s="933">
        <v>5432401.3854999999</v>
      </c>
      <c r="N626" s="502"/>
      <c r="O626" s="502" t="s">
        <v>1031</v>
      </c>
      <c r="P626" s="502" t="s">
        <v>194</v>
      </c>
      <c r="Q626" s="502"/>
      <c r="R626" s="502"/>
      <c r="S626" s="502"/>
      <c r="T626" s="722" t="s">
        <v>1043</v>
      </c>
      <c r="U626" s="138" t="s">
        <v>85</v>
      </c>
      <c r="V626" s="136" t="s">
        <v>85</v>
      </c>
      <c r="W626" s="136" t="s">
        <v>85</v>
      </c>
      <c r="X626" s="132" t="s">
        <v>194</v>
      </c>
      <c r="Y626" s="136" t="s">
        <v>405</v>
      </c>
      <c r="Z626" s="137" t="s">
        <v>933</v>
      </c>
      <c r="AA626" s="132">
        <v>1</v>
      </c>
      <c r="AB626" s="132" t="s">
        <v>954</v>
      </c>
      <c r="AC626" s="136">
        <v>125</v>
      </c>
      <c r="AD626" s="136">
        <v>123</v>
      </c>
      <c r="AE626" s="136">
        <v>127</v>
      </c>
      <c r="AF626" s="136"/>
      <c r="AG626" s="136"/>
      <c r="AH626" s="136"/>
      <c r="AI626" s="180" t="s">
        <v>256</v>
      </c>
      <c r="AJ626" s="173"/>
      <c r="AK626" s="173"/>
      <c r="AL626" s="350"/>
      <c r="AM626" s="350"/>
      <c r="AN626" s="45" t="s">
        <v>955</v>
      </c>
      <c r="AO626" s="45" t="s">
        <v>956</v>
      </c>
      <c r="AP626" s="137" t="s">
        <v>1007</v>
      </c>
      <c r="AQ626" s="137" t="s">
        <v>37</v>
      </c>
      <c r="AR626" s="139">
        <v>44078</v>
      </c>
      <c r="AS626" s="137" t="s">
        <v>37</v>
      </c>
      <c r="AT626" s="358"/>
      <c r="AU626" s="1110"/>
    </row>
    <row r="627" spans="1:47" s="211" customFormat="1" ht="78" thickBot="1" x14ac:dyDescent="0.3">
      <c r="A627" s="790"/>
      <c r="B627" s="777"/>
      <c r="C627" s="28"/>
      <c r="D627" s="575"/>
      <c r="E627" s="575"/>
      <c r="F627" s="28"/>
      <c r="G627" s="246"/>
      <c r="H627" s="504"/>
      <c r="I627" s="608"/>
      <c r="J627" s="503">
        <v>186</v>
      </c>
      <c r="K627" s="62" t="s">
        <v>1028</v>
      </c>
      <c r="L627" s="923">
        <v>1841902.7726</v>
      </c>
      <c r="M627" s="923">
        <v>5428952.0214</v>
      </c>
      <c r="N627" s="504"/>
      <c r="O627" s="504" t="s">
        <v>1032</v>
      </c>
      <c r="P627" s="504" t="s">
        <v>194</v>
      </c>
      <c r="Q627" s="504"/>
      <c r="R627" s="504"/>
      <c r="S627" s="504"/>
      <c r="T627" s="725" t="s">
        <v>1044</v>
      </c>
      <c r="U627" s="171" t="s">
        <v>85</v>
      </c>
      <c r="V627" s="154" t="s">
        <v>85</v>
      </c>
      <c r="W627" s="154" t="s">
        <v>85</v>
      </c>
      <c r="X627" s="156" t="s">
        <v>194</v>
      </c>
      <c r="Y627" s="154" t="s">
        <v>1040</v>
      </c>
      <c r="Z627" s="155" t="s">
        <v>933</v>
      </c>
      <c r="AA627" s="156">
        <v>1</v>
      </c>
      <c r="AB627" s="156" t="s">
        <v>954</v>
      </c>
      <c r="AC627" s="154">
        <v>125</v>
      </c>
      <c r="AD627" s="154">
        <v>123</v>
      </c>
      <c r="AE627" s="154">
        <v>127</v>
      </c>
      <c r="AF627" s="154"/>
      <c r="AG627" s="154"/>
      <c r="AH627" s="154"/>
      <c r="AI627" s="183" t="s">
        <v>256</v>
      </c>
      <c r="AJ627" s="201"/>
      <c r="AK627" s="201"/>
      <c r="AL627" s="443"/>
      <c r="AM627" s="443"/>
      <c r="AN627" s="51" t="s">
        <v>955</v>
      </c>
      <c r="AO627" s="51" t="s">
        <v>956</v>
      </c>
      <c r="AP627" s="155" t="s">
        <v>1007</v>
      </c>
      <c r="AQ627" s="155" t="s">
        <v>37</v>
      </c>
      <c r="AR627" s="172">
        <v>44078</v>
      </c>
      <c r="AS627" s="155" t="s">
        <v>37</v>
      </c>
      <c r="AT627" s="362"/>
      <c r="AU627" s="1111"/>
    </row>
    <row r="628" spans="1:47" s="211" customFormat="1" ht="77.25" x14ac:dyDescent="0.25">
      <c r="A628" s="487" t="s">
        <v>995</v>
      </c>
      <c r="B628" s="128" t="s">
        <v>4991</v>
      </c>
      <c r="C628" s="72">
        <v>399</v>
      </c>
      <c r="D628" s="586" t="s">
        <v>52</v>
      </c>
      <c r="E628" s="586"/>
      <c r="F628" s="72" t="s">
        <v>906</v>
      </c>
      <c r="G628" s="140" t="s">
        <v>1263</v>
      </c>
      <c r="H628" s="129" t="s">
        <v>2244</v>
      </c>
      <c r="I628" s="381" t="s">
        <v>150</v>
      </c>
      <c r="J628" s="187">
        <v>174</v>
      </c>
      <c r="K628" s="73" t="s">
        <v>1000</v>
      </c>
      <c r="L628" s="914">
        <v>1860441.2291999999</v>
      </c>
      <c r="M628" s="914">
        <v>5452504.9643000001</v>
      </c>
      <c r="N628" s="129"/>
      <c r="O628" s="129" t="s">
        <v>948</v>
      </c>
      <c r="P628" s="129" t="s">
        <v>194</v>
      </c>
      <c r="Q628" s="129"/>
      <c r="R628" s="129"/>
      <c r="S628" s="129"/>
      <c r="T628" s="266" t="s">
        <v>1017</v>
      </c>
      <c r="U628" s="169" t="s">
        <v>85</v>
      </c>
      <c r="V628" s="151" t="s">
        <v>85</v>
      </c>
      <c r="W628" s="151" t="s">
        <v>85</v>
      </c>
      <c r="X628" s="153" t="s">
        <v>194</v>
      </c>
      <c r="Y628" s="151" t="s">
        <v>1011</v>
      </c>
      <c r="Z628" s="152" t="s">
        <v>933</v>
      </c>
      <c r="AA628" s="153">
        <v>1</v>
      </c>
      <c r="AB628" s="153" t="s">
        <v>954</v>
      </c>
      <c r="AC628" s="151">
        <v>125</v>
      </c>
      <c r="AD628" s="151">
        <v>123</v>
      </c>
      <c r="AE628" s="151">
        <v>127</v>
      </c>
      <c r="AF628" s="151"/>
      <c r="AG628" s="151"/>
      <c r="AH628" s="151"/>
      <c r="AI628" s="203" t="s">
        <v>256</v>
      </c>
      <c r="AJ628" s="202"/>
      <c r="AK628" s="202"/>
      <c r="AL628" s="442"/>
      <c r="AM628" s="442"/>
      <c r="AN628" s="30" t="s">
        <v>955</v>
      </c>
      <c r="AO628" s="30" t="s">
        <v>956</v>
      </c>
      <c r="AP628" s="152" t="s">
        <v>1007</v>
      </c>
      <c r="AQ628" s="152" t="s">
        <v>37</v>
      </c>
      <c r="AR628" s="170">
        <v>44245</v>
      </c>
      <c r="AS628" s="152" t="s">
        <v>37</v>
      </c>
      <c r="AT628" s="361"/>
      <c r="AU628" s="1112"/>
    </row>
    <row r="629" spans="1:47" s="211" customFormat="1" ht="77.25" x14ac:dyDescent="0.25">
      <c r="A629" s="488"/>
      <c r="B629" s="131"/>
      <c r="C629" s="75"/>
      <c r="D629" s="568"/>
      <c r="E629" s="568"/>
      <c r="F629" s="75"/>
      <c r="G629" s="143"/>
      <c r="H629" s="118"/>
      <c r="I629" s="121"/>
      <c r="J629" s="188">
        <v>175</v>
      </c>
      <c r="K629" s="76" t="s">
        <v>1001</v>
      </c>
      <c r="L629" s="915">
        <v>1859641.5057000001</v>
      </c>
      <c r="M629" s="915">
        <v>5451976.9595999997</v>
      </c>
      <c r="N629" s="118"/>
      <c r="O629" s="118" t="s">
        <v>1006</v>
      </c>
      <c r="P629" s="118" t="s">
        <v>194</v>
      </c>
      <c r="Q629" s="118"/>
      <c r="R629" s="118"/>
      <c r="S629" s="118"/>
      <c r="T629" s="601" t="s">
        <v>1018</v>
      </c>
      <c r="U629" s="138" t="s">
        <v>85</v>
      </c>
      <c r="V629" s="136" t="s">
        <v>85</v>
      </c>
      <c r="W629" s="136" t="s">
        <v>85</v>
      </c>
      <c r="X629" s="132" t="s">
        <v>194</v>
      </c>
      <c r="Y629" s="136" t="s">
        <v>155</v>
      </c>
      <c r="Z629" s="137" t="s">
        <v>933</v>
      </c>
      <c r="AA629" s="132">
        <v>1</v>
      </c>
      <c r="AB629" s="132" t="s">
        <v>954</v>
      </c>
      <c r="AC629" s="136">
        <v>125</v>
      </c>
      <c r="AD629" s="136">
        <v>123</v>
      </c>
      <c r="AE629" s="136">
        <v>127</v>
      </c>
      <c r="AF629" s="136"/>
      <c r="AG629" s="136"/>
      <c r="AH629" s="136"/>
      <c r="AI629" s="180" t="s">
        <v>256</v>
      </c>
      <c r="AJ629" s="173"/>
      <c r="AK629" s="173"/>
      <c r="AL629" s="350"/>
      <c r="AM629" s="350"/>
      <c r="AN629" s="45" t="s">
        <v>955</v>
      </c>
      <c r="AO629" s="45" t="s">
        <v>956</v>
      </c>
      <c r="AP629" s="137" t="s">
        <v>1007</v>
      </c>
      <c r="AQ629" s="137" t="s">
        <v>37</v>
      </c>
      <c r="AR629" s="139">
        <v>44245</v>
      </c>
      <c r="AS629" s="137" t="s">
        <v>37</v>
      </c>
      <c r="AT629" s="358"/>
      <c r="AU629" s="1110"/>
    </row>
    <row r="630" spans="1:47" s="211" customFormat="1" ht="78" thickBot="1" x14ac:dyDescent="0.3">
      <c r="A630" s="489"/>
      <c r="B630" s="133"/>
      <c r="C630" s="78"/>
      <c r="D630" s="569"/>
      <c r="E630" s="569"/>
      <c r="F630" s="78"/>
      <c r="G630" s="144"/>
      <c r="H630" s="119"/>
      <c r="I630" s="429"/>
      <c r="J630" s="192">
        <v>176</v>
      </c>
      <c r="K630" s="79" t="s">
        <v>1002</v>
      </c>
      <c r="L630" s="916">
        <v>1859152.956</v>
      </c>
      <c r="M630" s="916">
        <v>5449558.0039999997</v>
      </c>
      <c r="N630" s="119"/>
      <c r="O630" s="119" t="s">
        <v>1004</v>
      </c>
      <c r="P630" s="119" t="s">
        <v>194</v>
      </c>
      <c r="Q630" s="119"/>
      <c r="R630" s="119"/>
      <c r="S630" s="119"/>
      <c r="T630" s="267" t="s">
        <v>1014</v>
      </c>
      <c r="U630" s="171" t="s">
        <v>85</v>
      </c>
      <c r="V630" s="154" t="s">
        <v>85</v>
      </c>
      <c r="W630" s="154" t="s">
        <v>85</v>
      </c>
      <c r="X630" s="156" t="s">
        <v>194</v>
      </c>
      <c r="Y630" s="154" t="s">
        <v>840</v>
      </c>
      <c r="Z630" s="155" t="s">
        <v>933</v>
      </c>
      <c r="AA630" s="156">
        <v>1</v>
      </c>
      <c r="AB630" s="156" t="s">
        <v>954</v>
      </c>
      <c r="AC630" s="154">
        <v>125</v>
      </c>
      <c r="AD630" s="154">
        <v>123</v>
      </c>
      <c r="AE630" s="154">
        <v>127</v>
      </c>
      <c r="AF630" s="154"/>
      <c r="AG630" s="154"/>
      <c r="AH630" s="154"/>
      <c r="AI630" s="183" t="s">
        <v>256</v>
      </c>
      <c r="AJ630" s="201"/>
      <c r="AK630" s="201"/>
      <c r="AL630" s="443"/>
      <c r="AM630" s="443"/>
      <c r="AN630" s="51" t="s">
        <v>955</v>
      </c>
      <c r="AO630" s="51" t="s">
        <v>956</v>
      </c>
      <c r="AP630" s="155" t="s">
        <v>1007</v>
      </c>
      <c r="AQ630" s="155" t="s">
        <v>37</v>
      </c>
      <c r="AR630" s="172">
        <v>44245</v>
      </c>
      <c r="AS630" s="155" t="s">
        <v>37</v>
      </c>
      <c r="AT630" s="362"/>
      <c r="AU630" s="1111"/>
    </row>
    <row r="631" spans="1:47" s="478" customFormat="1" ht="65.25" thickBot="1" x14ac:dyDescent="0.3">
      <c r="A631" s="648" t="s">
        <v>3610</v>
      </c>
      <c r="B631" s="598" t="s">
        <v>4992</v>
      </c>
      <c r="C631" s="248">
        <v>202</v>
      </c>
      <c r="D631" s="595" t="s">
        <v>57</v>
      </c>
      <c r="E631" s="595"/>
      <c r="F631" s="248" t="s">
        <v>668</v>
      </c>
      <c r="G631" s="249" t="s">
        <v>1238</v>
      </c>
      <c r="H631" s="426" t="s">
        <v>671</v>
      </c>
      <c r="I631" s="634" t="s">
        <v>5522</v>
      </c>
      <c r="J631" s="523">
        <v>1308</v>
      </c>
      <c r="K631" s="620" t="s">
        <v>3609</v>
      </c>
      <c r="L631" s="958">
        <v>1885485.6931</v>
      </c>
      <c r="M631" s="958">
        <v>5760585.0585000003</v>
      </c>
      <c r="N631" s="484"/>
      <c r="O631" s="484" t="s">
        <v>3608</v>
      </c>
      <c r="P631" s="483" t="s">
        <v>194</v>
      </c>
      <c r="Q631" s="484"/>
      <c r="R631" s="484"/>
      <c r="S631" s="484"/>
      <c r="T631" s="629" t="s">
        <v>671</v>
      </c>
      <c r="U631" s="85" t="s">
        <v>16</v>
      </c>
      <c r="V631" s="86" t="s">
        <v>16</v>
      </c>
      <c r="W631" s="86" t="s">
        <v>16</v>
      </c>
      <c r="X631" s="86" t="s">
        <v>194</v>
      </c>
      <c r="Y631" s="86" t="s">
        <v>3607</v>
      </c>
      <c r="Z631" s="92" t="s">
        <v>3606</v>
      </c>
      <c r="AA631" s="86"/>
      <c r="AB631" s="86" t="s">
        <v>3605</v>
      </c>
      <c r="AC631" s="86">
        <v>15.7</v>
      </c>
      <c r="AD631" s="86">
        <v>15.5</v>
      </c>
      <c r="AE631" s="86">
        <v>15.9</v>
      </c>
      <c r="AF631" s="86"/>
      <c r="AG631" s="387"/>
      <c r="AH631" s="387"/>
      <c r="AI631" s="94" t="s">
        <v>3604</v>
      </c>
      <c r="AJ631" s="86"/>
      <c r="AK631" s="86"/>
      <c r="AL631" s="387"/>
      <c r="AM631" s="387"/>
      <c r="AN631" s="92" t="s">
        <v>3603</v>
      </c>
      <c r="AO631" s="92" t="s">
        <v>3602</v>
      </c>
      <c r="AP631" s="92" t="s">
        <v>3601</v>
      </c>
      <c r="AQ631" s="92" t="s">
        <v>1380</v>
      </c>
      <c r="AR631" s="93">
        <v>44147</v>
      </c>
      <c r="AS631" s="92" t="s">
        <v>1380</v>
      </c>
      <c r="AT631" s="93">
        <v>44147</v>
      </c>
      <c r="AU631" s="1108" t="s">
        <v>37</v>
      </c>
    </row>
    <row r="632" spans="1:47" ht="65.25" thickBot="1" x14ac:dyDescent="0.3">
      <c r="A632" s="341" t="s">
        <v>2839</v>
      </c>
      <c r="B632" s="181" t="s">
        <v>2839</v>
      </c>
      <c r="C632" s="125">
        <v>193</v>
      </c>
      <c r="D632" s="585" t="s">
        <v>57</v>
      </c>
      <c r="E632" s="585"/>
      <c r="F632" s="125" t="s">
        <v>2840</v>
      </c>
      <c r="G632" s="145" t="s">
        <v>4993</v>
      </c>
      <c r="H632" s="126" t="s">
        <v>5523</v>
      </c>
      <c r="I632" s="181" t="s">
        <v>5524</v>
      </c>
      <c r="J632" s="189">
        <v>3027</v>
      </c>
      <c r="K632" s="355" t="s">
        <v>2841</v>
      </c>
      <c r="L632" s="911">
        <v>1924337.038401</v>
      </c>
      <c r="M632" s="911">
        <v>5782029.4390719999</v>
      </c>
      <c r="N632" s="126"/>
      <c r="O632" s="126" t="s">
        <v>2842</v>
      </c>
      <c r="P632" s="254" t="s">
        <v>2047</v>
      </c>
      <c r="Q632" s="126"/>
      <c r="R632" s="126"/>
      <c r="S632" s="126"/>
      <c r="T632" s="289" t="s">
        <v>5523</v>
      </c>
      <c r="U632" s="86" t="s">
        <v>16</v>
      </c>
      <c r="V632" s="86" t="s">
        <v>85</v>
      </c>
      <c r="W632" s="86" t="s">
        <v>16</v>
      </c>
      <c r="X632" s="86" t="s">
        <v>193</v>
      </c>
      <c r="Y632" s="197" t="s">
        <v>2843</v>
      </c>
      <c r="Z632" s="92" t="s">
        <v>2727</v>
      </c>
      <c r="AA632" s="86">
        <v>1</v>
      </c>
      <c r="AB632" s="86">
        <v>5.6</v>
      </c>
      <c r="AC632" s="86">
        <v>5.6</v>
      </c>
      <c r="AD632" s="86"/>
      <c r="AE632" s="86"/>
      <c r="AF632" s="86"/>
      <c r="AG632" s="387"/>
      <c r="AH632" s="387"/>
      <c r="AI632" s="94" t="s">
        <v>2844</v>
      </c>
      <c r="AJ632" s="106"/>
      <c r="AK632" s="86"/>
      <c r="AL632" s="387"/>
      <c r="AM632" s="387"/>
      <c r="AN632" s="342" t="s">
        <v>2845</v>
      </c>
      <c r="AO632" s="94" t="s">
        <v>2846</v>
      </c>
      <c r="AP632" s="92" t="s">
        <v>2847</v>
      </c>
      <c r="AQ632" s="92" t="s">
        <v>2715</v>
      </c>
      <c r="AR632" s="93">
        <v>44067</v>
      </c>
      <c r="AS632" s="92" t="s">
        <v>2715</v>
      </c>
      <c r="AT632" s="93">
        <v>44111</v>
      </c>
      <c r="AU632" s="1108" t="s">
        <v>37</v>
      </c>
    </row>
    <row r="633" spans="1:47" ht="64.5" x14ac:dyDescent="0.25">
      <c r="A633" s="339"/>
      <c r="B633" s="116"/>
      <c r="C633" s="95"/>
      <c r="D633" s="567"/>
      <c r="E633" s="567"/>
      <c r="F633" s="95"/>
      <c r="G633" s="419"/>
      <c r="H633" s="108"/>
      <c r="I633" s="116"/>
      <c r="J633" s="191">
        <v>3087</v>
      </c>
      <c r="K633" s="359" t="s">
        <v>3045</v>
      </c>
      <c r="L633" s="913">
        <v>1924029.405214</v>
      </c>
      <c r="M633" s="913">
        <v>5782110.8135949997</v>
      </c>
      <c r="N633" s="108"/>
      <c r="O633" s="259">
        <v>0.5</v>
      </c>
      <c r="P633" s="258" t="s">
        <v>193</v>
      </c>
      <c r="Q633" s="699"/>
      <c r="R633" s="699"/>
      <c r="S633" s="699"/>
      <c r="T633" s="283" t="s">
        <v>3046</v>
      </c>
      <c r="U633" s="382" t="s">
        <v>16</v>
      </c>
      <c r="V633" s="382" t="s">
        <v>16</v>
      </c>
      <c r="W633" s="382" t="s">
        <v>16</v>
      </c>
      <c r="X633" s="31" t="s">
        <v>193</v>
      </c>
      <c r="Y633" s="31">
        <v>0.25</v>
      </c>
      <c r="Z633" s="40" t="s">
        <v>2727</v>
      </c>
      <c r="AA633" s="382">
        <v>1</v>
      </c>
      <c r="AB633" s="31">
        <v>0.1</v>
      </c>
      <c r="AC633" s="31">
        <v>0.1</v>
      </c>
      <c r="AD633" s="31"/>
      <c r="AE633" s="31"/>
      <c r="AF633" s="31"/>
      <c r="AG633" s="372"/>
      <c r="AH633" s="372"/>
      <c r="AI633" s="30" t="s">
        <v>1915</v>
      </c>
      <c r="AJ633" s="130"/>
      <c r="AK633" s="31"/>
      <c r="AL633" s="372"/>
      <c r="AM633" s="372"/>
      <c r="AN633" s="389" t="s">
        <v>3047</v>
      </c>
      <c r="AO633" s="389" t="s">
        <v>3048</v>
      </c>
      <c r="AP633" s="40" t="s">
        <v>3049</v>
      </c>
      <c r="AQ633" s="40" t="s">
        <v>2715</v>
      </c>
      <c r="AR633" s="41">
        <v>44110</v>
      </c>
      <c r="AS633" s="40" t="s">
        <v>2715</v>
      </c>
      <c r="AT633" s="41">
        <v>44111</v>
      </c>
      <c r="AU633" s="652" t="s">
        <v>37</v>
      </c>
    </row>
    <row r="634" spans="1:47" ht="51.75" x14ac:dyDescent="0.25">
      <c r="A634" s="339"/>
      <c r="B634" s="116"/>
      <c r="C634" s="95"/>
      <c r="D634" s="567"/>
      <c r="E634" s="567"/>
      <c r="F634" s="95"/>
      <c r="G634" s="146"/>
      <c r="H634" s="108"/>
      <c r="I634" s="116"/>
      <c r="J634" s="191">
        <v>3088</v>
      </c>
      <c r="K634" s="359" t="s">
        <v>3050</v>
      </c>
      <c r="L634" s="913">
        <v>1924036.5516029999</v>
      </c>
      <c r="M634" s="913">
        <v>5782114.001708</v>
      </c>
      <c r="N634" s="108"/>
      <c r="O634" s="259">
        <v>11.5</v>
      </c>
      <c r="P634" s="258" t="s">
        <v>193</v>
      </c>
      <c r="Q634" s="699"/>
      <c r="R634" s="699"/>
      <c r="S634" s="699"/>
      <c r="T634" s="283" t="s">
        <v>3051</v>
      </c>
      <c r="U634" s="417" t="s">
        <v>16</v>
      </c>
      <c r="V634" s="410" t="s">
        <v>16</v>
      </c>
      <c r="W634" s="410" t="s">
        <v>16</v>
      </c>
      <c r="X634" s="2" t="s">
        <v>193</v>
      </c>
      <c r="Y634" s="2">
        <v>6.5</v>
      </c>
      <c r="Z634" s="3" t="s">
        <v>2727</v>
      </c>
      <c r="AA634" s="410">
        <v>1</v>
      </c>
      <c r="AB634" s="2">
        <v>0.56499999999999995</v>
      </c>
      <c r="AC634" s="2">
        <v>0.56499999999999995</v>
      </c>
      <c r="AI634" s="16" t="s">
        <v>1915</v>
      </c>
      <c r="AK634" s="2"/>
      <c r="AN634" s="388" t="s">
        <v>3052</v>
      </c>
      <c r="AO634" s="388" t="s">
        <v>3053</v>
      </c>
      <c r="AP634" s="3" t="s">
        <v>3049</v>
      </c>
      <c r="AQ634" s="3" t="s">
        <v>2715</v>
      </c>
      <c r="AR634" s="186">
        <v>44110</v>
      </c>
      <c r="AS634" s="3" t="s">
        <v>2715</v>
      </c>
      <c r="AT634" s="186">
        <v>44111</v>
      </c>
      <c r="AU634" s="1107" t="s">
        <v>37</v>
      </c>
    </row>
    <row r="635" spans="1:47" ht="51.75" x14ac:dyDescent="0.25">
      <c r="A635" s="339"/>
      <c r="B635" s="116"/>
      <c r="C635" s="95"/>
      <c r="D635" s="567"/>
      <c r="E635" s="567"/>
      <c r="F635" s="95"/>
      <c r="G635" s="146"/>
      <c r="H635" s="108"/>
      <c r="I635" s="116"/>
      <c r="J635" s="191">
        <v>3089</v>
      </c>
      <c r="K635" s="359" t="s">
        <v>3054</v>
      </c>
      <c r="L635" s="913">
        <v>1924043.301403</v>
      </c>
      <c r="M635" s="913">
        <v>5782116.7923079999</v>
      </c>
      <c r="N635" s="108"/>
      <c r="O635" s="259">
        <v>1.1000000000000001</v>
      </c>
      <c r="P635" s="258" t="s">
        <v>193</v>
      </c>
      <c r="Q635" s="699"/>
      <c r="R635" s="699"/>
      <c r="S635" s="699"/>
      <c r="T635" s="283" t="s">
        <v>3055</v>
      </c>
      <c r="U635" s="417" t="s">
        <v>16</v>
      </c>
      <c r="V635" s="410" t="s">
        <v>16</v>
      </c>
      <c r="W635" s="410" t="s">
        <v>16</v>
      </c>
      <c r="X635" s="2" t="s">
        <v>193</v>
      </c>
      <c r="Y635" s="2">
        <v>4.75</v>
      </c>
      <c r="Z635" s="3" t="s">
        <v>2727</v>
      </c>
      <c r="AA635" s="410">
        <v>1</v>
      </c>
      <c r="AB635" s="2">
        <v>4.165</v>
      </c>
      <c r="AC635" s="2">
        <v>4.165</v>
      </c>
      <c r="AI635" s="16" t="s">
        <v>1915</v>
      </c>
      <c r="AK635" s="2"/>
      <c r="AN635" s="388" t="s">
        <v>3052</v>
      </c>
      <c r="AO635" s="388" t="s">
        <v>3056</v>
      </c>
      <c r="AP635" s="3" t="s">
        <v>3049</v>
      </c>
      <c r="AQ635" s="3" t="s">
        <v>2715</v>
      </c>
      <c r="AR635" s="186">
        <v>44110</v>
      </c>
      <c r="AS635" s="3" t="s">
        <v>2715</v>
      </c>
      <c r="AT635" s="186">
        <v>44111</v>
      </c>
      <c r="AU635" s="1107" t="s">
        <v>37</v>
      </c>
    </row>
    <row r="636" spans="1:47" ht="52.5" thickBot="1" x14ac:dyDescent="0.3">
      <c r="A636" s="336"/>
      <c r="B636" s="196"/>
      <c r="C636" s="96"/>
      <c r="D636" s="566"/>
      <c r="E636" s="566"/>
      <c r="F636" s="96"/>
      <c r="G636" s="147"/>
      <c r="H636" s="107"/>
      <c r="I636" s="196"/>
      <c r="J636" s="190">
        <v>3090</v>
      </c>
      <c r="K636" s="357" t="s">
        <v>3057</v>
      </c>
      <c r="L636" s="912">
        <v>1924049.6532030001</v>
      </c>
      <c r="M636" s="912">
        <v>5782119.9796080003</v>
      </c>
      <c r="N636" s="107"/>
      <c r="O636" s="262">
        <v>2.4</v>
      </c>
      <c r="P636" s="261" t="s">
        <v>193</v>
      </c>
      <c r="Q636" s="1104"/>
      <c r="R636" s="1104"/>
      <c r="S636" s="1104"/>
      <c r="T636" s="274" t="s">
        <v>3058</v>
      </c>
      <c r="U636" s="411" t="s">
        <v>16</v>
      </c>
      <c r="V636" s="411" t="s">
        <v>16</v>
      </c>
      <c r="W636" s="411" t="s">
        <v>16</v>
      </c>
      <c r="X636" s="25" t="s">
        <v>193</v>
      </c>
      <c r="Y636" s="25">
        <v>11.5</v>
      </c>
      <c r="Z636" s="52" t="s">
        <v>2727</v>
      </c>
      <c r="AA636" s="411">
        <v>1</v>
      </c>
      <c r="AB636" s="25">
        <v>4.83</v>
      </c>
      <c r="AC636" s="25">
        <v>4.83</v>
      </c>
      <c r="AD636" s="25"/>
      <c r="AE636" s="25"/>
      <c r="AF636" s="25"/>
      <c r="AG636" s="386"/>
      <c r="AH636" s="386"/>
      <c r="AI636" s="51" t="s">
        <v>1915</v>
      </c>
      <c r="AJ636" s="105"/>
      <c r="AK636" s="25"/>
      <c r="AL636" s="386"/>
      <c r="AM636" s="386"/>
      <c r="AN636" s="391" t="s">
        <v>3059</v>
      </c>
      <c r="AO636" s="391" t="s">
        <v>3060</v>
      </c>
      <c r="AP636" s="52" t="s">
        <v>3049</v>
      </c>
      <c r="AQ636" s="52" t="s">
        <v>2715</v>
      </c>
      <c r="AR636" s="53">
        <v>44110</v>
      </c>
      <c r="AS636" s="52" t="s">
        <v>2715</v>
      </c>
      <c r="AT636" s="53">
        <v>44111</v>
      </c>
      <c r="AU636" s="653" t="s">
        <v>37</v>
      </c>
    </row>
    <row r="637" spans="1:47" s="211" customFormat="1" ht="64.5" x14ac:dyDescent="0.25">
      <c r="A637" s="487" t="s">
        <v>2839</v>
      </c>
      <c r="B637" s="128" t="s">
        <v>5943</v>
      </c>
      <c r="C637" s="72">
        <v>186</v>
      </c>
      <c r="D637" s="586" t="s">
        <v>57</v>
      </c>
      <c r="E637" s="586"/>
      <c r="F637" s="72" t="s">
        <v>4679</v>
      </c>
      <c r="G637" s="369" t="s">
        <v>1238</v>
      </c>
      <c r="H637" s="129" t="s">
        <v>5944</v>
      </c>
      <c r="I637" s="381" t="s">
        <v>6097</v>
      </c>
      <c r="J637" s="187">
        <v>931</v>
      </c>
      <c r="K637" s="73" t="s">
        <v>5993</v>
      </c>
      <c r="L637" s="914">
        <v>1929333.7757999999</v>
      </c>
      <c r="M637" s="914">
        <v>5785561.5960999997</v>
      </c>
      <c r="N637" s="129"/>
      <c r="O637" s="129" t="s">
        <v>6050</v>
      </c>
      <c r="P637" s="129" t="s">
        <v>193</v>
      </c>
      <c r="Q637" s="129"/>
      <c r="R637" s="129"/>
      <c r="S637" s="129"/>
      <c r="T637" s="129" t="s">
        <v>6050</v>
      </c>
      <c r="U637" s="169" t="s">
        <v>10</v>
      </c>
      <c r="V637" s="151" t="s">
        <v>16</v>
      </c>
      <c r="W637" s="151" t="s">
        <v>16</v>
      </c>
      <c r="X637" s="153" t="s">
        <v>194</v>
      </c>
      <c r="Y637" s="151" t="s">
        <v>5997</v>
      </c>
      <c r="Z637" s="152" t="s">
        <v>5966</v>
      </c>
      <c r="AA637" s="153">
        <v>1</v>
      </c>
      <c r="AB637" s="153" t="s">
        <v>5967</v>
      </c>
      <c r="AC637" s="151">
        <v>1.177</v>
      </c>
      <c r="AD637" s="151">
        <v>0.624</v>
      </c>
      <c r="AE637" s="151">
        <v>1.73</v>
      </c>
      <c r="AF637" s="151"/>
      <c r="AG637" s="151"/>
      <c r="AH637" s="151"/>
      <c r="AI637" s="203" t="s">
        <v>256</v>
      </c>
      <c r="AJ637" s="202"/>
      <c r="AK637" s="202"/>
      <c r="AL637" s="442"/>
      <c r="AM637" s="442"/>
      <c r="AN637" s="203" t="s">
        <v>6084</v>
      </c>
      <c r="AO637" s="152" t="s">
        <v>6114</v>
      </c>
      <c r="AP637" s="152" t="s">
        <v>5969</v>
      </c>
      <c r="AQ637" s="152" t="s">
        <v>37</v>
      </c>
      <c r="AR637" s="170">
        <v>44314</v>
      </c>
      <c r="AS637" s="152"/>
      <c r="AT637" s="361"/>
      <c r="AU637" s="1112"/>
    </row>
    <row r="638" spans="1:47" s="211" customFormat="1" ht="39" x14ac:dyDescent="0.25">
      <c r="A638" s="488"/>
      <c r="B638" s="131"/>
      <c r="C638" s="75"/>
      <c r="D638" s="568"/>
      <c r="E638" s="568"/>
      <c r="F638" s="75"/>
      <c r="G638" s="563"/>
      <c r="H638" s="118"/>
      <c r="I638" s="121"/>
      <c r="J638" s="188">
        <v>932</v>
      </c>
      <c r="K638" s="76" t="s">
        <v>5994</v>
      </c>
      <c r="L638" s="915">
        <v>1929028.0144</v>
      </c>
      <c r="M638" s="915">
        <v>5785304.4042999996</v>
      </c>
      <c r="N638" s="118"/>
      <c r="O638" s="118" t="s">
        <v>6051</v>
      </c>
      <c r="P638" s="118" t="s">
        <v>193</v>
      </c>
      <c r="Q638" s="118"/>
      <c r="R638" s="118"/>
      <c r="S638" s="118"/>
      <c r="T638" s="118" t="s">
        <v>6051</v>
      </c>
      <c r="U638" s="138" t="s">
        <v>10</v>
      </c>
      <c r="V638" s="136" t="s">
        <v>16</v>
      </c>
      <c r="W638" s="136" t="s">
        <v>16</v>
      </c>
      <c r="X638" s="132" t="s">
        <v>194</v>
      </c>
      <c r="Y638" s="136" t="s">
        <v>6098</v>
      </c>
      <c r="Z638" s="137" t="s">
        <v>5966</v>
      </c>
      <c r="AA638" s="132">
        <v>1</v>
      </c>
      <c r="AB638" s="132" t="s">
        <v>5967</v>
      </c>
      <c r="AC638" s="136">
        <v>1.177</v>
      </c>
      <c r="AD638" s="136">
        <v>0.624</v>
      </c>
      <c r="AE638" s="136">
        <v>1.73</v>
      </c>
      <c r="AF638" s="136"/>
      <c r="AG638" s="136"/>
      <c r="AH638" s="136"/>
      <c r="AI638" s="180" t="s">
        <v>256</v>
      </c>
      <c r="AJ638" s="173"/>
      <c r="AK638" s="173"/>
      <c r="AL638" s="350"/>
      <c r="AM638" s="350"/>
      <c r="AN638" s="180" t="s">
        <v>6084</v>
      </c>
      <c r="AO638" s="137" t="s">
        <v>6114</v>
      </c>
      <c r="AP638" s="137" t="s">
        <v>5969</v>
      </c>
      <c r="AQ638" s="137" t="s">
        <v>37</v>
      </c>
      <c r="AR638" s="139">
        <v>44314</v>
      </c>
      <c r="AS638" s="137"/>
      <c r="AT638" s="358"/>
      <c r="AU638" s="1110"/>
    </row>
    <row r="639" spans="1:47" s="211" customFormat="1" ht="39" x14ac:dyDescent="0.25">
      <c r="A639" s="488"/>
      <c r="B639" s="131"/>
      <c r="C639" s="75"/>
      <c r="D639" s="568"/>
      <c r="E639" s="568"/>
      <c r="F639" s="75"/>
      <c r="G639" s="563"/>
      <c r="H639" s="118"/>
      <c r="I639" s="121"/>
      <c r="J639" s="188">
        <v>933</v>
      </c>
      <c r="K639" s="76" t="s">
        <v>5995</v>
      </c>
      <c r="L639" s="915">
        <v>1929253.9005</v>
      </c>
      <c r="M639" s="915">
        <v>5785500.3150000004</v>
      </c>
      <c r="N639" s="118"/>
      <c r="O639" s="118" t="s">
        <v>6052</v>
      </c>
      <c r="P639" s="118" t="s">
        <v>193</v>
      </c>
      <c r="Q639" s="118"/>
      <c r="R639" s="118"/>
      <c r="S639" s="118"/>
      <c r="T639" s="118" t="s">
        <v>6052</v>
      </c>
      <c r="U639" s="138" t="s">
        <v>10</v>
      </c>
      <c r="V639" s="136" t="s">
        <v>16</v>
      </c>
      <c r="W639" s="136" t="s">
        <v>16</v>
      </c>
      <c r="X639" s="132" t="s">
        <v>194</v>
      </c>
      <c r="Y639" s="136" t="s">
        <v>6099</v>
      </c>
      <c r="Z639" s="137" t="s">
        <v>5966</v>
      </c>
      <c r="AA639" s="132">
        <v>1</v>
      </c>
      <c r="AB639" s="132" t="s">
        <v>5967</v>
      </c>
      <c r="AC639" s="136">
        <v>1.177</v>
      </c>
      <c r="AD639" s="136">
        <v>0.624</v>
      </c>
      <c r="AE639" s="136">
        <v>1.73</v>
      </c>
      <c r="AF639" s="136"/>
      <c r="AG639" s="136"/>
      <c r="AH639" s="136"/>
      <c r="AI639" s="180" t="s">
        <v>256</v>
      </c>
      <c r="AJ639" s="173"/>
      <c r="AK639" s="173"/>
      <c r="AL639" s="350"/>
      <c r="AM639" s="350"/>
      <c r="AN639" s="180" t="s">
        <v>6084</v>
      </c>
      <c r="AO639" s="137" t="s">
        <v>6114</v>
      </c>
      <c r="AP639" s="137" t="s">
        <v>5969</v>
      </c>
      <c r="AQ639" s="137" t="s">
        <v>37</v>
      </c>
      <c r="AR639" s="139">
        <v>44314</v>
      </c>
      <c r="AS639" s="137"/>
      <c r="AT639" s="358"/>
      <c r="AU639" s="1110"/>
    </row>
    <row r="640" spans="1:47" s="211" customFormat="1" ht="39.75" thickBot="1" x14ac:dyDescent="0.3">
      <c r="A640" s="489"/>
      <c r="B640" s="133"/>
      <c r="C640" s="78"/>
      <c r="D640" s="569"/>
      <c r="E640" s="569"/>
      <c r="F640" s="78"/>
      <c r="G640" s="602"/>
      <c r="H640" s="119"/>
      <c r="I640" s="429"/>
      <c r="J640" s="192">
        <v>934</v>
      </c>
      <c r="K640" s="79" t="s">
        <v>5996</v>
      </c>
      <c r="L640" s="916">
        <v>1928893.3060000001</v>
      </c>
      <c r="M640" s="916">
        <v>5785168.4413000001</v>
      </c>
      <c r="N640" s="119"/>
      <c r="O640" s="119" t="s">
        <v>6053</v>
      </c>
      <c r="P640" s="119" t="s">
        <v>193</v>
      </c>
      <c r="Q640" s="119"/>
      <c r="R640" s="119"/>
      <c r="S640" s="119"/>
      <c r="T640" s="119" t="s">
        <v>6053</v>
      </c>
      <c r="U640" s="171" t="s">
        <v>10</v>
      </c>
      <c r="V640" s="154" t="s">
        <v>16</v>
      </c>
      <c r="W640" s="154" t="s">
        <v>16</v>
      </c>
      <c r="X640" s="156" t="s">
        <v>194</v>
      </c>
      <c r="Y640" s="154" t="s">
        <v>6100</v>
      </c>
      <c r="Z640" s="155" t="s">
        <v>5966</v>
      </c>
      <c r="AA640" s="156">
        <v>1</v>
      </c>
      <c r="AB640" s="156" t="s">
        <v>5967</v>
      </c>
      <c r="AC640" s="154">
        <v>1.177</v>
      </c>
      <c r="AD640" s="154">
        <v>0.624</v>
      </c>
      <c r="AE640" s="154">
        <v>1.73</v>
      </c>
      <c r="AF640" s="154"/>
      <c r="AG640" s="154"/>
      <c r="AH640" s="154"/>
      <c r="AI640" s="183" t="s">
        <v>256</v>
      </c>
      <c r="AJ640" s="201"/>
      <c r="AK640" s="201"/>
      <c r="AL640" s="443"/>
      <c r="AM640" s="443"/>
      <c r="AN640" s="183" t="s">
        <v>6084</v>
      </c>
      <c r="AO640" s="155" t="s">
        <v>6114</v>
      </c>
      <c r="AP640" s="155" t="s">
        <v>5969</v>
      </c>
      <c r="AQ640" s="155" t="s">
        <v>37</v>
      </c>
      <c r="AR640" s="172">
        <v>44314</v>
      </c>
      <c r="AS640" s="155"/>
      <c r="AT640" s="362"/>
      <c r="AU640" s="1111"/>
    </row>
    <row r="641" spans="1:47" s="211" customFormat="1" ht="52.5" thickBot="1" x14ac:dyDescent="0.3">
      <c r="A641" s="341" t="s">
        <v>5962</v>
      </c>
      <c r="B641" s="181" t="s">
        <v>5962</v>
      </c>
      <c r="C641" s="125">
        <v>230</v>
      </c>
      <c r="D641" s="585" t="s">
        <v>57</v>
      </c>
      <c r="E641" s="585"/>
      <c r="F641" s="125" t="s">
        <v>4679</v>
      </c>
      <c r="G641" s="371" t="s">
        <v>1238</v>
      </c>
      <c r="H641" s="126" t="s">
        <v>5963</v>
      </c>
      <c r="I641" s="247" t="s">
        <v>6211</v>
      </c>
      <c r="J641" s="189">
        <v>901</v>
      </c>
      <c r="K641" s="355" t="s">
        <v>6198</v>
      </c>
      <c r="L641" s="911">
        <v>1872312.9882</v>
      </c>
      <c r="M641" s="911">
        <v>5715479.9177999999</v>
      </c>
      <c r="N641" s="126"/>
      <c r="O641" s="126">
        <v>0.11</v>
      </c>
      <c r="P641" s="126" t="s">
        <v>194</v>
      </c>
      <c r="Q641" s="126"/>
      <c r="R641" s="126"/>
      <c r="S641" s="126" t="s">
        <v>6200</v>
      </c>
      <c r="T641" s="344" t="s">
        <v>6202</v>
      </c>
      <c r="U641" s="169" t="s">
        <v>10</v>
      </c>
      <c r="V641" s="151" t="s">
        <v>16</v>
      </c>
      <c r="W641" s="151" t="s">
        <v>16</v>
      </c>
      <c r="X641" s="153" t="s">
        <v>194</v>
      </c>
      <c r="Y641" s="153" t="s">
        <v>6204</v>
      </c>
      <c r="Z641" s="152" t="s">
        <v>6196</v>
      </c>
      <c r="AA641" s="153">
        <v>1</v>
      </c>
      <c r="AB641" s="153" t="s">
        <v>6197</v>
      </c>
      <c r="AC641" s="151">
        <v>27.1</v>
      </c>
      <c r="AD641" s="151">
        <v>27</v>
      </c>
      <c r="AE641" s="151">
        <v>27.2</v>
      </c>
      <c r="AF641" s="151"/>
      <c r="AG641" s="151"/>
      <c r="AH641" s="151"/>
      <c r="AI641" s="203" t="s">
        <v>256</v>
      </c>
      <c r="AJ641" s="202"/>
      <c r="AK641" s="202"/>
      <c r="AL641" s="442"/>
      <c r="AM641" s="442"/>
      <c r="AN641" s="203" t="s">
        <v>6084</v>
      </c>
      <c r="AO641" s="203" t="s">
        <v>6295</v>
      </c>
      <c r="AP641" s="152" t="s">
        <v>6121</v>
      </c>
      <c r="AQ641" s="152" t="s">
        <v>37</v>
      </c>
      <c r="AR641" s="170">
        <v>44316</v>
      </c>
      <c r="AS641" s="152" t="s">
        <v>37</v>
      </c>
      <c r="AT641" s="361"/>
      <c r="AU641" s="1112"/>
    </row>
    <row r="642" spans="1:47" s="211" customFormat="1" ht="39.75" thickBot="1" x14ac:dyDescent="0.3">
      <c r="A642" s="339"/>
      <c r="B642" s="116"/>
      <c r="C642" s="95"/>
      <c r="D642" s="567"/>
      <c r="E642" s="567"/>
      <c r="F642" s="95"/>
      <c r="G642" s="562"/>
      <c r="H642" s="108"/>
      <c r="I642" s="122"/>
      <c r="J642" s="190">
        <v>902</v>
      </c>
      <c r="K642" s="357" t="s">
        <v>6199</v>
      </c>
      <c r="L642" s="912">
        <v>1872563.5416999999</v>
      </c>
      <c r="M642" s="912">
        <v>5715778.4153000005</v>
      </c>
      <c r="N642" s="107"/>
      <c r="O642" s="107">
        <v>0.14000000000000001</v>
      </c>
      <c r="P642" s="107" t="s">
        <v>194</v>
      </c>
      <c r="Q642" s="107"/>
      <c r="R642" s="107"/>
      <c r="S642" s="107" t="s">
        <v>6201</v>
      </c>
      <c r="T642" s="127" t="s">
        <v>6203</v>
      </c>
      <c r="U642" s="169" t="s">
        <v>10</v>
      </c>
      <c r="V642" s="151" t="s">
        <v>16</v>
      </c>
      <c r="W642" s="151" t="s">
        <v>16</v>
      </c>
      <c r="X642" s="153" t="s">
        <v>194</v>
      </c>
      <c r="Y642" s="153" t="s">
        <v>6205</v>
      </c>
      <c r="Z642" s="152" t="s">
        <v>6196</v>
      </c>
      <c r="AA642" s="153">
        <v>1</v>
      </c>
      <c r="AB642" s="153" t="s">
        <v>6197</v>
      </c>
      <c r="AC642" s="151">
        <v>27.1</v>
      </c>
      <c r="AD642" s="151">
        <v>27</v>
      </c>
      <c r="AE642" s="151">
        <v>27.2</v>
      </c>
      <c r="AF642" s="151"/>
      <c r="AG642" s="151"/>
      <c r="AH642" s="151"/>
      <c r="AI642" s="203" t="s">
        <v>256</v>
      </c>
      <c r="AJ642" s="202"/>
      <c r="AK642" s="202"/>
      <c r="AL642" s="442"/>
      <c r="AM642" s="442"/>
      <c r="AN642" s="203" t="s">
        <v>6084</v>
      </c>
      <c r="AO642" s="203" t="s">
        <v>6295</v>
      </c>
      <c r="AP642" s="152" t="s">
        <v>6121</v>
      </c>
      <c r="AQ642" s="152" t="s">
        <v>37</v>
      </c>
      <c r="AR642" s="170">
        <v>44316</v>
      </c>
      <c r="AS642" s="152" t="s">
        <v>37</v>
      </c>
      <c r="AT642" s="361"/>
      <c r="AU642" s="1112"/>
    </row>
    <row r="643" spans="1:47" s="211" customFormat="1" ht="39.75" thickBot="1" x14ac:dyDescent="0.3">
      <c r="A643" s="345" t="s">
        <v>5958</v>
      </c>
      <c r="B643" s="331" t="s">
        <v>5958</v>
      </c>
      <c r="C643" s="83">
        <v>240</v>
      </c>
      <c r="D643" s="588" t="s">
        <v>57</v>
      </c>
      <c r="E643" s="588"/>
      <c r="F643" s="83" t="s">
        <v>4679</v>
      </c>
      <c r="G643" s="308" t="s">
        <v>1238</v>
      </c>
      <c r="H643" s="199" t="s">
        <v>5959</v>
      </c>
      <c r="I643" s="395" t="s">
        <v>5879</v>
      </c>
      <c r="J643" s="87">
        <v>898</v>
      </c>
      <c r="K643" s="360" t="s">
        <v>6184</v>
      </c>
      <c r="L643" s="907">
        <v>1835994.4850999999</v>
      </c>
      <c r="M643" s="907">
        <v>5675736.5011999998</v>
      </c>
      <c r="N643" s="199"/>
      <c r="O643" s="199" t="s">
        <v>5959</v>
      </c>
      <c r="P643" s="199" t="s">
        <v>193</v>
      </c>
      <c r="Q643" s="301"/>
      <c r="R643" s="301"/>
      <c r="S643" s="301"/>
      <c r="T643" s="300" t="s">
        <v>5959</v>
      </c>
      <c r="U643" s="169" t="s">
        <v>10</v>
      </c>
      <c r="V643" s="151" t="s">
        <v>16</v>
      </c>
      <c r="W643" s="151" t="s">
        <v>16</v>
      </c>
      <c r="X643" s="153" t="s">
        <v>194</v>
      </c>
      <c r="Y643" s="153" t="s">
        <v>6185</v>
      </c>
      <c r="Z643" s="152" t="s">
        <v>6186</v>
      </c>
      <c r="AA643" s="153">
        <v>1</v>
      </c>
      <c r="AB643" s="153" t="s">
        <v>6187</v>
      </c>
      <c r="AC643" s="151">
        <v>125</v>
      </c>
      <c r="AD643" s="151">
        <v>105</v>
      </c>
      <c r="AE643" s="151">
        <v>145</v>
      </c>
      <c r="AF643" s="151"/>
      <c r="AG643" s="151"/>
      <c r="AH643" s="151"/>
      <c r="AI643" s="203" t="s">
        <v>256</v>
      </c>
      <c r="AJ643" s="202"/>
      <c r="AK643" s="202"/>
      <c r="AL643" s="442"/>
      <c r="AM643" s="442"/>
      <c r="AN643" s="203" t="s">
        <v>6084</v>
      </c>
      <c r="AO643" s="203" t="s">
        <v>6294</v>
      </c>
      <c r="AP643" s="152" t="s">
        <v>6121</v>
      </c>
      <c r="AQ643" s="152" t="s">
        <v>37</v>
      </c>
      <c r="AR643" s="170">
        <v>44316</v>
      </c>
      <c r="AS643" s="152" t="s">
        <v>37</v>
      </c>
      <c r="AT643" s="361"/>
      <c r="AU643" s="1112"/>
    </row>
    <row r="644" spans="1:47" ht="26.25" x14ac:dyDescent="0.25">
      <c r="A644" s="339" t="s">
        <v>5313</v>
      </c>
      <c r="B644" s="116" t="s">
        <v>6822</v>
      </c>
      <c r="C644" s="95">
        <v>265</v>
      </c>
      <c r="D644" s="567" t="s">
        <v>53</v>
      </c>
      <c r="E644" s="567" t="s">
        <v>52</v>
      </c>
      <c r="F644" s="95" t="s">
        <v>152</v>
      </c>
      <c r="G644" s="95" t="s">
        <v>1972</v>
      </c>
      <c r="H644" s="108" t="s">
        <v>5314</v>
      </c>
      <c r="I644" s="122" t="s">
        <v>5568</v>
      </c>
      <c r="J644" s="189">
        <v>2528</v>
      </c>
      <c r="K644" s="355" t="s">
        <v>5315</v>
      </c>
      <c r="L644" s="911">
        <v>1880145.9510999999</v>
      </c>
      <c r="M644" s="911">
        <v>5601587.5502000004</v>
      </c>
      <c r="N644" s="126"/>
      <c r="O644" s="126" t="s">
        <v>5316</v>
      </c>
      <c r="P644" s="125" t="s">
        <v>5</v>
      </c>
      <c r="Q644" s="126"/>
      <c r="R644" s="126"/>
      <c r="S644" s="126"/>
      <c r="T644" s="344" t="s">
        <v>5813</v>
      </c>
      <c r="U644" s="101" t="s">
        <v>10</v>
      </c>
      <c r="V644" s="31" t="s">
        <v>85</v>
      </c>
      <c r="W644" s="31" t="s">
        <v>16</v>
      </c>
      <c r="X644" s="31" t="s">
        <v>5</v>
      </c>
      <c r="Y644" s="130" t="s">
        <v>5168</v>
      </c>
      <c r="Z644" s="40" t="s">
        <v>5174</v>
      </c>
      <c r="AA644" s="31">
        <v>2</v>
      </c>
      <c r="AB644" s="130" t="s">
        <v>5156</v>
      </c>
      <c r="AC644" s="31">
        <v>12</v>
      </c>
      <c r="AD644" s="31"/>
      <c r="AE644" s="31"/>
      <c r="AF644" s="31">
        <v>10</v>
      </c>
      <c r="AG644" s="372"/>
      <c r="AH644" s="372"/>
      <c r="AI644" s="30" t="s">
        <v>256</v>
      </c>
      <c r="AJ644" s="31" t="s">
        <v>3459</v>
      </c>
      <c r="AK644" s="31"/>
      <c r="AL644" s="372"/>
      <c r="AM644" s="372"/>
      <c r="AN644" s="40" t="s">
        <v>5816</v>
      </c>
      <c r="AO644" s="286" t="s">
        <v>5157</v>
      </c>
      <c r="AP644" s="40" t="s">
        <v>6936</v>
      </c>
      <c r="AQ644" s="40" t="s">
        <v>3457</v>
      </c>
      <c r="AR644" s="41">
        <v>44231</v>
      </c>
      <c r="AS644" s="40" t="s">
        <v>3457</v>
      </c>
      <c r="AT644" s="41">
        <v>44270</v>
      </c>
      <c r="AU644" s="652" t="s">
        <v>37</v>
      </c>
    </row>
    <row r="645" spans="1:47" ht="26.25" x14ac:dyDescent="0.25">
      <c r="A645" s="339"/>
      <c r="B645" s="338"/>
      <c r="C645" s="277"/>
      <c r="D645" s="565"/>
      <c r="E645" s="565"/>
      <c r="F645" s="277"/>
      <c r="G645" s="277"/>
      <c r="H645" s="276"/>
      <c r="I645" s="122"/>
      <c r="J645" s="538">
        <v>2525</v>
      </c>
      <c r="K645" s="356" t="s">
        <v>5317</v>
      </c>
      <c r="L645" s="938">
        <v>1888831.1253</v>
      </c>
      <c r="M645" s="938">
        <v>5617828.4000000004</v>
      </c>
      <c r="N645" s="276">
        <v>30</v>
      </c>
      <c r="O645" s="276" t="s">
        <v>5318</v>
      </c>
      <c r="P645" s="277" t="s">
        <v>5</v>
      </c>
      <c r="Q645" s="276"/>
      <c r="R645" s="276"/>
      <c r="S645" s="276"/>
      <c r="T645" s="184" t="s">
        <v>5814</v>
      </c>
      <c r="U645" s="102" t="s">
        <v>16</v>
      </c>
      <c r="V645" s="2" t="s">
        <v>85</v>
      </c>
      <c r="W645" s="2" t="s">
        <v>16</v>
      </c>
      <c r="X645" s="2" t="s">
        <v>5</v>
      </c>
      <c r="Y645" s="148" t="s">
        <v>5319</v>
      </c>
      <c r="Z645" s="3" t="s">
        <v>5174</v>
      </c>
      <c r="AA645" s="2">
        <v>2</v>
      </c>
      <c r="AB645" s="148" t="s">
        <v>5320</v>
      </c>
      <c r="AC645" s="2">
        <v>15</v>
      </c>
      <c r="AF645" s="2">
        <v>12</v>
      </c>
      <c r="AI645" s="16" t="s">
        <v>256</v>
      </c>
      <c r="AJ645" s="2" t="s">
        <v>13</v>
      </c>
      <c r="AK645" s="2"/>
      <c r="AN645" s="3" t="s">
        <v>5817</v>
      </c>
      <c r="AO645" s="280" t="s">
        <v>5321</v>
      </c>
      <c r="AP645" s="3" t="s">
        <v>1462</v>
      </c>
      <c r="AQ645" s="3" t="s">
        <v>3457</v>
      </c>
      <c r="AR645" s="186">
        <v>44231</v>
      </c>
      <c r="AS645" s="3" t="s">
        <v>3457</v>
      </c>
      <c r="AT645" s="186">
        <v>44270</v>
      </c>
      <c r="AU645" s="1107" t="s">
        <v>37</v>
      </c>
    </row>
    <row r="646" spans="1:47" ht="27" thickBot="1" x14ac:dyDescent="0.3">
      <c r="A646" s="336"/>
      <c r="B646" s="196"/>
      <c r="C646" s="96"/>
      <c r="D646" s="566"/>
      <c r="E646" s="566"/>
      <c r="F646" s="96"/>
      <c r="G646" s="96"/>
      <c r="H646" s="107"/>
      <c r="I646" s="123"/>
      <c r="J646" s="539">
        <v>2529</v>
      </c>
      <c r="K646" s="357" t="s">
        <v>5322</v>
      </c>
      <c r="L646" s="912">
        <v>1886289.9380999999</v>
      </c>
      <c r="M646" s="912">
        <v>5612708.4228999997</v>
      </c>
      <c r="N646" s="107">
        <v>30</v>
      </c>
      <c r="O646" s="107" t="s">
        <v>5323</v>
      </c>
      <c r="P646" s="96" t="s">
        <v>5</v>
      </c>
      <c r="Q646" s="107"/>
      <c r="R646" s="107"/>
      <c r="S646" s="107"/>
      <c r="T646" s="127" t="s">
        <v>5815</v>
      </c>
      <c r="U646" s="104" t="s">
        <v>16</v>
      </c>
      <c r="V646" s="25" t="s">
        <v>85</v>
      </c>
      <c r="W646" s="25" t="s">
        <v>16</v>
      </c>
      <c r="X646" s="25" t="s">
        <v>5</v>
      </c>
      <c r="Y646" s="105" t="s">
        <v>5324</v>
      </c>
      <c r="Z646" s="52" t="s">
        <v>5174</v>
      </c>
      <c r="AA646" s="25">
        <v>2</v>
      </c>
      <c r="AB646" s="105" t="s">
        <v>5320</v>
      </c>
      <c r="AC646" s="25">
        <v>15</v>
      </c>
      <c r="AD646" s="25"/>
      <c r="AE646" s="25"/>
      <c r="AF646" s="25">
        <v>12</v>
      </c>
      <c r="AG646" s="386"/>
      <c r="AH646" s="386"/>
      <c r="AI646" s="51" t="s">
        <v>256</v>
      </c>
      <c r="AJ646" s="25" t="s">
        <v>13</v>
      </c>
      <c r="AK646" s="25"/>
      <c r="AL646" s="386"/>
      <c r="AM646" s="386"/>
      <c r="AN646" s="52" t="s">
        <v>5817</v>
      </c>
      <c r="AO646" s="52" t="s">
        <v>5325</v>
      </c>
      <c r="AP646" s="52" t="s">
        <v>1462</v>
      </c>
      <c r="AQ646" s="52" t="s">
        <v>3457</v>
      </c>
      <c r="AR646" s="53">
        <v>44231</v>
      </c>
      <c r="AS646" s="52" t="s">
        <v>3457</v>
      </c>
      <c r="AT646" s="53">
        <v>44270</v>
      </c>
      <c r="AU646" s="653" t="s">
        <v>37</v>
      </c>
    </row>
    <row r="647" spans="1:47" ht="26.25" x14ac:dyDescent="0.25">
      <c r="A647" s="487" t="s">
        <v>5313</v>
      </c>
      <c r="B647" s="128" t="s">
        <v>6823</v>
      </c>
      <c r="C647" s="72">
        <v>264</v>
      </c>
      <c r="D647" s="586" t="s">
        <v>53</v>
      </c>
      <c r="E647" s="586" t="s">
        <v>52</v>
      </c>
      <c r="F647" s="72" t="s">
        <v>152</v>
      </c>
      <c r="G647" s="72" t="s">
        <v>1972</v>
      </c>
      <c r="H647" s="129" t="s">
        <v>5314</v>
      </c>
      <c r="I647" s="381" t="s">
        <v>150</v>
      </c>
      <c r="J647" s="187">
        <v>2521</v>
      </c>
      <c r="K647" s="73" t="s">
        <v>5326</v>
      </c>
      <c r="L647" s="914">
        <v>1904724.8873000001</v>
      </c>
      <c r="M647" s="914">
        <v>5657998.5970999999</v>
      </c>
      <c r="N647" s="129">
        <v>25</v>
      </c>
      <c r="O647" s="129" t="s">
        <v>1586</v>
      </c>
      <c r="P647" s="72" t="s">
        <v>194</v>
      </c>
      <c r="Q647" s="129"/>
      <c r="R647" s="129"/>
      <c r="S647" s="129"/>
      <c r="T647" s="266" t="s">
        <v>5819</v>
      </c>
      <c r="U647" s="101" t="s">
        <v>16</v>
      </c>
      <c r="V647" s="31" t="s">
        <v>16</v>
      </c>
      <c r="W647" s="31" t="s">
        <v>16</v>
      </c>
      <c r="X647" s="31" t="s">
        <v>194</v>
      </c>
      <c r="Y647" s="130" t="s">
        <v>5202</v>
      </c>
      <c r="Z647" s="40" t="s">
        <v>604</v>
      </c>
      <c r="AA647" s="31">
        <v>2</v>
      </c>
      <c r="AB647" s="130" t="s">
        <v>5327</v>
      </c>
      <c r="AC647" s="31">
        <v>20</v>
      </c>
      <c r="AD647" s="31"/>
      <c r="AE647" s="31"/>
      <c r="AF647" s="31">
        <v>12</v>
      </c>
      <c r="AG647" s="372"/>
      <c r="AH647" s="372"/>
      <c r="AI647" s="30" t="s">
        <v>5829</v>
      </c>
      <c r="AJ647" s="31" t="s">
        <v>13</v>
      </c>
      <c r="AK647" s="31"/>
      <c r="AL647" s="372"/>
      <c r="AM647" s="372"/>
      <c r="AN647" s="40" t="s">
        <v>5824</v>
      </c>
      <c r="AO647" s="40" t="s">
        <v>5328</v>
      </c>
      <c r="AP647" s="40" t="s">
        <v>1462</v>
      </c>
      <c r="AQ647" s="40" t="s">
        <v>3457</v>
      </c>
      <c r="AR647" s="41">
        <v>44246</v>
      </c>
      <c r="AS647" s="40" t="s">
        <v>3457</v>
      </c>
      <c r="AT647" s="41">
        <v>44270</v>
      </c>
      <c r="AU647" s="652" t="s">
        <v>37</v>
      </c>
    </row>
    <row r="648" spans="1:47" ht="26.25" x14ac:dyDescent="0.25">
      <c r="A648" s="488"/>
      <c r="B648" s="486"/>
      <c r="C648" s="407"/>
      <c r="D648" s="572"/>
      <c r="E648" s="572"/>
      <c r="F648" s="407"/>
      <c r="G648" s="407"/>
      <c r="H648" s="541"/>
      <c r="I648" s="121"/>
      <c r="J648" s="188">
        <v>2522</v>
      </c>
      <c r="K648" s="547" t="s">
        <v>5329</v>
      </c>
      <c r="L648" s="926">
        <v>1899117.6166000001</v>
      </c>
      <c r="M648" s="926">
        <v>5646122.8561000004</v>
      </c>
      <c r="N648" s="541">
        <v>30</v>
      </c>
      <c r="O648" s="541" t="s">
        <v>5330</v>
      </c>
      <c r="P648" s="407" t="s">
        <v>5</v>
      </c>
      <c r="Q648" s="541"/>
      <c r="R648" s="541"/>
      <c r="S648" s="541"/>
      <c r="T648" s="601" t="s">
        <v>5820</v>
      </c>
      <c r="U648" s="102" t="s">
        <v>85</v>
      </c>
      <c r="V648" s="2" t="s">
        <v>16</v>
      </c>
      <c r="W648" s="2" t="s">
        <v>16</v>
      </c>
      <c r="X648" s="2" t="s">
        <v>5</v>
      </c>
      <c r="Y648" s="148" t="s">
        <v>3482</v>
      </c>
      <c r="Z648" s="3" t="s">
        <v>5331</v>
      </c>
      <c r="AB648" s="148" t="s">
        <v>5156</v>
      </c>
      <c r="AC648" s="2">
        <v>12</v>
      </c>
      <c r="AF648" s="2">
        <v>10</v>
      </c>
      <c r="AI648" s="16" t="s">
        <v>5828</v>
      </c>
      <c r="AJ648" s="2" t="s">
        <v>3459</v>
      </c>
      <c r="AK648" s="2"/>
      <c r="AN648" s="3" t="s">
        <v>5825</v>
      </c>
      <c r="AO648" s="3" t="s">
        <v>5332</v>
      </c>
      <c r="AP648" s="3" t="s">
        <v>5333</v>
      </c>
      <c r="AQ648" s="3" t="s">
        <v>3457</v>
      </c>
      <c r="AR648" s="186">
        <v>44231</v>
      </c>
      <c r="AS648" s="3" t="s">
        <v>3457</v>
      </c>
      <c r="AT648" s="186">
        <v>44270</v>
      </c>
      <c r="AU648" s="1107" t="s">
        <v>37</v>
      </c>
    </row>
    <row r="649" spans="1:47" ht="39" x14ac:dyDescent="0.25">
      <c r="A649" s="488"/>
      <c r="B649" s="486"/>
      <c r="C649" s="407"/>
      <c r="D649" s="572"/>
      <c r="E649" s="572"/>
      <c r="F649" s="407"/>
      <c r="G649" s="407"/>
      <c r="H649" s="541"/>
      <c r="I649" s="121"/>
      <c r="J649" s="188">
        <v>2526</v>
      </c>
      <c r="K649" s="547" t="s">
        <v>5334</v>
      </c>
      <c r="L649" s="926">
        <v>1911516.4922</v>
      </c>
      <c r="M649" s="926">
        <v>5670452.1961000003</v>
      </c>
      <c r="N649" s="541">
        <v>25</v>
      </c>
      <c r="O649" s="540" t="s">
        <v>5335</v>
      </c>
      <c r="P649" s="407" t="s">
        <v>5</v>
      </c>
      <c r="Q649" s="541"/>
      <c r="R649" s="541"/>
      <c r="S649" s="486"/>
      <c r="T649" s="601" t="s">
        <v>5821</v>
      </c>
      <c r="U649" s="102" t="s">
        <v>16</v>
      </c>
      <c r="V649" s="2" t="s">
        <v>16</v>
      </c>
      <c r="W649" s="2" t="s">
        <v>16</v>
      </c>
      <c r="X649" s="185" t="s">
        <v>61</v>
      </c>
      <c r="Y649" s="337" t="s">
        <v>5336</v>
      </c>
      <c r="Z649" s="3" t="s">
        <v>5337</v>
      </c>
      <c r="AA649" s="185">
        <v>2</v>
      </c>
      <c r="AB649" s="148" t="s">
        <v>5338</v>
      </c>
      <c r="AC649" s="2">
        <v>6</v>
      </c>
      <c r="AF649" s="2">
        <v>10</v>
      </c>
      <c r="AI649" s="16" t="s">
        <v>5716</v>
      </c>
      <c r="AJ649" s="148" t="s">
        <v>3459</v>
      </c>
      <c r="AK649" s="2"/>
      <c r="AN649" s="3" t="s">
        <v>6986</v>
      </c>
      <c r="AO649" s="16" t="s">
        <v>5339</v>
      </c>
      <c r="AP649" s="3" t="s">
        <v>6944</v>
      </c>
      <c r="AQ649" s="3" t="s">
        <v>3457</v>
      </c>
      <c r="AR649" s="186">
        <v>44246</v>
      </c>
      <c r="AS649" s="3" t="s">
        <v>3457</v>
      </c>
      <c r="AT649" s="186">
        <v>44270</v>
      </c>
      <c r="AU649" s="1107" t="s">
        <v>37</v>
      </c>
    </row>
    <row r="650" spans="1:47" ht="26.25" x14ac:dyDescent="0.25">
      <c r="A650" s="488"/>
      <c r="B650" s="486"/>
      <c r="C650" s="407"/>
      <c r="D650" s="572"/>
      <c r="E650" s="572"/>
      <c r="F650" s="407"/>
      <c r="G650" s="407"/>
      <c r="H650" s="541"/>
      <c r="I650" s="121"/>
      <c r="J650" s="188">
        <v>2523</v>
      </c>
      <c r="K650" s="547" t="s">
        <v>5340</v>
      </c>
      <c r="L650" s="926">
        <v>1898484.5112000001</v>
      </c>
      <c r="M650" s="926">
        <v>5644843.7154999999</v>
      </c>
      <c r="N650" s="541">
        <v>30</v>
      </c>
      <c r="O650" s="540" t="s">
        <v>5341</v>
      </c>
      <c r="P650" s="541" t="s">
        <v>2047</v>
      </c>
      <c r="Q650" s="541"/>
      <c r="R650" s="541"/>
      <c r="S650" s="541"/>
      <c r="T650" s="601" t="s">
        <v>5822</v>
      </c>
      <c r="U650" s="102" t="s">
        <v>16</v>
      </c>
      <c r="V650" s="2" t="s">
        <v>85</v>
      </c>
      <c r="W650" s="2" t="s">
        <v>16</v>
      </c>
      <c r="X650" s="185" t="s">
        <v>61</v>
      </c>
      <c r="Y650" s="337" t="s">
        <v>5342</v>
      </c>
      <c r="Z650" s="3" t="s">
        <v>5182</v>
      </c>
      <c r="AA650" s="185">
        <v>1</v>
      </c>
      <c r="AB650" s="148" t="s">
        <v>5168</v>
      </c>
      <c r="AC650" s="2">
        <v>12</v>
      </c>
      <c r="AF650" s="2">
        <v>8</v>
      </c>
      <c r="AI650" s="16" t="s">
        <v>5716</v>
      </c>
      <c r="AJ650" s="148" t="s">
        <v>3459</v>
      </c>
      <c r="AK650" s="2"/>
      <c r="AN650" s="3" t="s">
        <v>5826</v>
      </c>
      <c r="AO650" s="3" t="s">
        <v>5343</v>
      </c>
      <c r="AP650" s="3" t="s">
        <v>6945</v>
      </c>
      <c r="AQ650" s="3" t="s">
        <v>3457</v>
      </c>
      <c r="AR650" s="186">
        <v>44231</v>
      </c>
      <c r="AS650" s="3" t="s">
        <v>3457</v>
      </c>
      <c r="AT650" s="186">
        <v>44270</v>
      </c>
      <c r="AU650" s="1107" t="s">
        <v>37</v>
      </c>
    </row>
    <row r="651" spans="1:47" ht="27" thickBot="1" x14ac:dyDescent="0.3">
      <c r="A651" s="489"/>
      <c r="B651" s="133"/>
      <c r="C651" s="78"/>
      <c r="D651" s="569"/>
      <c r="E651" s="569"/>
      <c r="F651" s="78"/>
      <c r="G651" s="78"/>
      <c r="H651" s="119"/>
      <c r="I651" s="429"/>
      <c r="J651" s="192">
        <v>2527</v>
      </c>
      <c r="K651" s="79" t="s">
        <v>5344</v>
      </c>
      <c r="L651" s="916">
        <v>1903038.9098</v>
      </c>
      <c r="M651" s="916">
        <v>5653835.3048</v>
      </c>
      <c r="N651" s="119">
        <v>25</v>
      </c>
      <c r="O651" s="542" t="s">
        <v>5345</v>
      </c>
      <c r="P651" s="119" t="s">
        <v>5</v>
      </c>
      <c r="Q651" s="119"/>
      <c r="R651" s="119"/>
      <c r="S651" s="119"/>
      <c r="T651" s="267" t="s">
        <v>5823</v>
      </c>
      <c r="U651" s="104" t="s">
        <v>85</v>
      </c>
      <c r="V651" s="25" t="s">
        <v>85</v>
      </c>
      <c r="W651" s="25" t="s">
        <v>85</v>
      </c>
      <c r="X651" s="120" t="s">
        <v>5</v>
      </c>
      <c r="Y651" s="120">
        <v>60</v>
      </c>
      <c r="Z651" s="52" t="s">
        <v>5174</v>
      </c>
      <c r="AA651" s="120">
        <v>1</v>
      </c>
      <c r="AB651" s="105" t="s">
        <v>1610</v>
      </c>
      <c r="AC651" s="25">
        <v>30</v>
      </c>
      <c r="AD651" s="25"/>
      <c r="AE651" s="25"/>
      <c r="AF651" s="25">
        <v>20</v>
      </c>
      <c r="AG651" s="386"/>
      <c r="AH651" s="386"/>
      <c r="AI651" s="51" t="s">
        <v>256</v>
      </c>
      <c r="AJ651" s="105" t="s">
        <v>13</v>
      </c>
      <c r="AK651" s="25"/>
      <c r="AL651" s="386"/>
      <c r="AM651" s="386"/>
      <c r="AN651" s="52" t="s">
        <v>5827</v>
      </c>
      <c r="AO651" s="271" t="s">
        <v>5346</v>
      </c>
      <c r="AP651" s="52" t="s">
        <v>5333</v>
      </c>
      <c r="AQ651" s="52" t="s">
        <v>3457</v>
      </c>
      <c r="AR651" s="53">
        <v>44246</v>
      </c>
      <c r="AS651" s="52" t="s">
        <v>3457</v>
      </c>
      <c r="AT651" s="53">
        <v>44270</v>
      </c>
      <c r="AU651" s="653" t="s">
        <v>37</v>
      </c>
    </row>
    <row r="652" spans="1:47" ht="39" x14ac:dyDescent="0.25">
      <c r="A652" s="341" t="s">
        <v>5255</v>
      </c>
      <c r="B652" s="181" t="s">
        <v>5255</v>
      </c>
      <c r="C652" s="125">
        <v>308</v>
      </c>
      <c r="D652" s="585" t="s">
        <v>52</v>
      </c>
      <c r="E652" s="585" t="s">
        <v>53</v>
      </c>
      <c r="F652" s="125" t="s">
        <v>4679</v>
      </c>
      <c r="G652" s="125" t="s">
        <v>1973</v>
      </c>
      <c r="H652" s="126" t="s">
        <v>2277</v>
      </c>
      <c r="I652" s="247" t="s">
        <v>5591</v>
      </c>
      <c r="J652" s="189">
        <v>2319</v>
      </c>
      <c r="K652" s="355" t="s">
        <v>5256</v>
      </c>
      <c r="L652" s="897">
        <v>1880120.7472000001</v>
      </c>
      <c r="M652" s="897">
        <v>5559579.9154000003</v>
      </c>
      <c r="N652" s="126">
        <v>40</v>
      </c>
      <c r="O652" s="126" t="s">
        <v>5830</v>
      </c>
      <c r="P652" s="126" t="s">
        <v>61</v>
      </c>
      <c r="Q652" s="255"/>
      <c r="R652" s="255"/>
      <c r="S652" s="255"/>
      <c r="T652" s="126" t="s">
        <v>5667</v>
      </c>
      <c r="U652" s="288" t="s">
        <v>16</v>
      </c>
      <c r="V652" s="97" t="s">
        <v>85</v>
      </c>
      <c r="W652" s="97" t="s">
        <v>16</v>
      </c>
      <c r="X652" s="97" t="s">
        <v>61</v>
      </c>
      <c r="Y652" s="340" t="s">
        <v>5621</v>
      </c>
      <c r="Z652" s="40" t="s">
        <v>3461</v>
      </c>
      <c r="AA652" s="31">
        <v>2</v>
      </c>
      <c r="AB652" s="340" t="s">
        <v>5156</v>
      </c>
      <c r="AC652" s="31">
        <v>12</v>
      </c>
      <c r="AD652" s="31"/>
      <c r="AE652" s="31"/>
      <c r="AF652" s="31">
        <v>10</v>
      </c>
      <c r="AG652" s="372"/>
      <c r="AH652" s="372"/>
      <c r="AI652" s="30" t="s">
        <v>256</v>
      </c>
      <c r="AJ652" s="31" t="s">
        <v>3459</v>
      </c>
      <c r="AK652" s="31"/>
      <c r="AL652" s="372"/>
      <c r="AM652" s="372"/>
      <c r="AN652" s="40" t="s">
        <v>5620</v>
      </c>
      <c r="AO652" s="286" t="s">
        <v>5157</v>
      </c>
      <c r="AP652" s="40" t="s">
        <v>1462</v>
      </c>
      <c r="AQ652" s="40" t="s">
        <v>3457</v>
      </c>
      <c r="AR652" s="41">
        <v>44258</v>
      </c>
      <c r="AS652" s="40" t="s">
        <v>3457</v>
      </c>
      <c r="AT652" s="285">
        <v>44270</v>
      </c>
      <c r="AU652" s="284" t="s">
        <v>37</v>
      </c>
    </row>
    <row r="653" spans="1:47" s="211" customFormat="1" ht="26.25" x14ac:dyDescent="0.25">
      <c r="A653" s="339"/>
      <c r="B653" s="116"/>
      <c r="C653" s="95"/>
      <c r="D653" s="567"/>
      <c r="E653" s="567"/>
      <c r="F653" s="95"/>
      <c r="G653" s="146"/>
      <c r="H653" s="108"/>
      <c r="I653" s="122"/>
      <c r="J653" s="191">
        <v>2435</v>
      </c>
      <c r="K653" s="359" t="s">
        <v>5609</v>
      </c>
      <c r="L653" s="913">
        <v>1881560.4446</v>
      </c>
      <c r="M653" s="913">
        <v>5561777.8191999998</v>
      </c>
      <c r="N653" s="108">
        <v>30</v>
      </c>
      <c r="O653" s="108" t="s">
        <v>5610</v>
      </c>
      <c r="P653" s="95" t="s">
        <v>193</v>
      </c>
      <c r="Q653" s="108"/>
      <c r="R653" s="108"/>
      <c r="S653" s="108"/>
      <c r="T653" s="108" t="s">
        <v>5668</v>
      </c>
      <c r="U653" s="102" t="s">
        <v>10</v>
      </c>
      <c r="V653" s="24" t="s">
        <v>16</v>
      </c>
      <c r="W653" s="24" t="s">
        <v>16</v>
      </c>
      <c r="X653" s="24" t="s">
        <v>194</v>
      </c>
      <c r="Y653" s="173" t="s">
        <v>6355</v>
      </c>
      <c r="Z653" s="46" t="s">
        <v>5611</v>
      </c>
      <c r="AA653" s="24">
        <v>6</v>
      </c>
      <c r="AB653" s="2">
        <v>4</v>
      </c>
      <c r="AC653" s="337" t="s">
        <v>5156</v>
      </c>
      <c r="AD653" s="2">
        <v>12</v>
      </c>
      <c r="AE653" s="24"/>
      <c r="AF653" s="2">
        <v>10</v>
      </c>
      <c r="AG653" s="351"/>
      <c r="AH653" s="351"/>
      <c r="AI653" s="45" t="s">
        <v>256</v>
      </c>
      <c r="AJ653" s="24" t="s">
        <v>13</v>
      </c>
      <c r="AK653" s="24"/>
      <c r="AL653" s="351"/>
      <c r="AM653" s="351"/>
      <c r="AN653" s="46" t="s">
        <v>5818</v>
      </c>
      <c r="AO653" s="46" t="s">
        <v>5612</v>
      </c>
      <c r="AP653" s="46" t="s">
        <v>6987</v>
      </c>
      <c r="AQ653" s="46" t="s">
        <v>3457</v>
      </c>
      <c r="AR653" s="47">
        <v>44258</v>
      </c>
      <c r="AS653" s="46" t="s">
        <v>3457</v>
      </c>
      <c r="AT653" s="47">
        <v>44270</v>
      </c>
      <c r="AU653" s="1107" t="s">
        <v>37</v>
      </c>
    </row>
    <row r="654" spans="1:47" s="211" customFormat="1" ht="26.25" x14ac:dyDescent="0.25">
      <c r="A654" s="339"/>
      <c r="B654" s="116"/>
      <c r="C654" s="95"/>
      <c r="D654" s="567"/>
      <c r="E654" s="567"/>
      <c r="F654" s="95"/>
      <c r="G654" s="146"/>
      <c r="H654" s="108"/>
      <c r="I654" s="122"/>
      <c r="J654" s="191">
        <v>2436</v>
      </c>
      <c r="K654" s="359" t="s">
        <v>5613</v>
      </c>
      <c r="L654" s="913">
        <v>1885228.8637999999</v>
      </c>
      <c r="M654" s="913">
        <v>5569924.6221000003</v>
      </c>
      <c r="N654" s="108">
        <v>25</v>
      </c>
      <c r="O654" s="108" t="s">
        <v>5614</v>
      </c>
      <c r="P654" s="95" t="s">
        <v>193</v>
      </c>
      <c r="Q654" s="108"/>
      <c r="R654" s="108"/>
      <c r="S654" s="108"/>
      <c r="T654" s="108" t="s">
        <v>5669</v>
      </c>
      <c r="U654" s="102" t="s">
        <v>10</v>
      </c>
      <c r="V654" s="24" t="s">
        <v>16</v>
      </c>
      <c r="W654" s="24" t="s">
        <v>16</v>
      </c>
      <c r="X654" s="24" t="s">
        <v>194</v>
      </c>
      <c r="Y654" s="150" t="s">
        <v>6341</v>
      </c>
      <c r="Z654" s="46" t="s">
        <v>3461</v>
      </c>
      <c r="AA654" s="24">
        <v>2</v>
      </c>
      <c r="AB654" s="2">
        <v>1</v>
      </c>
      <c r="AC654" s="337" t="s">
        <v>5156</v>
      </c>
      <c r="AD654" s="2">
        <v>12</v>
      </c>
      <c r="AE654" s="24"/>
      <c r="AF654" s="2">
        <v>10</v>
      </c>
      <c r="AG654" s="351"/>
      <c r="AH654" s="351"/>
      <c r="AI654" s="45" t="s">
        <v>256</v>
      </c>
      <c r="AJ654" s="24" t="s">
        <v>13</v>
      </c>
      <c r="AK654" s="24"/>
      <c r="AL654" s="351"/>
      <c r="AM654" s="351"/>
      <c r="AN654" s="46" t="s">
        <v>5818</v>
      </c>
      <c r="AO654" s="46" t="s">
        <v>5615</v>
      </c>
      <c r="AP654" s="46" t="s">
        <v>6987</v>
      </c>
      <c r="AQ654" s="46" t="s">
        <v>3457</v>
      </c>
      <c r="AR654" s="47">
        <v>44320</v>
      </c>
      <c r="AS654" s="46" t="s">
        <v>3457</v>
      </c>
      <c r="AT654" s="47">
        <v>44321</v>
      </c>
      <c r="AU654" s="1107" t="s">
        <v>37</v>
      </c>
    </row>
    <row r="655" spans="1:47" s="211" customFormat="1" ht="26.25" x14ac:dyDescent="0.25">
      <c r="A655" s="339"/>
      <c r="B655" s="116"/>
      <c r="C655" s="95"/>
      <c r="D655" s="567"/>
      <c r="E655" s="567"/>
      <c r="F655" s="95"/>
      <c r="G655" s="146"/>
      <c r="H655" s="108"/>
      <c r="I655" s="122"/>
      <c r="J655" s="191">
        <v>2437</v>
      </c>
      <c r="K655" s="359" t="s">
        <v>5616</v>
      </c>
      <c r="L655" s="913">
        <v>1883318.2634999999</v>
      </c>
      <c r="M655" s="913">
        <v>5564613.5076000001</v>
      </c>
      <c r="N655" s="108">
        <v>25</v>
      </c>
      <c r="O655" s="108" t="s">
        <v>5617</v>
      </c>
      <c r="P655" s="108" t="s">
        <v>193</v>
      </c>
      <c r="Q655" s="108"/>
      <c r="R655" s="108"/>
      <c r="S655" s="108"/>
      <c r="T655" s="108" t="s">
        <v>5670</v>
      </c>
      <c r="U655" s="102" t="s">
        <v>10</v>
      </c>
      <c r="V655" s="24" t="s">
        <v>16</v>
      </c>
      <c r="W655" s="24" t="s">
        <v>16</v>
      </c>
      <c r="X655" s="117" t="s">
        <v>194</v>
      </c>
      <c r="Y655" s="33" t="s">
        <v>6342</v>
      </c>
      <c r="Z655" s="46" t="s">
        <v>3461</v>
      </c>
      <c r="AA655" s="24">
        <v>2</v>
      </c>
      <c r="AB655" s="2">
        <v>3</v>
      </c>
      <c r="AC655" s="337" t="s">
        <v>5156</v>
      </c>
      <c r="AD655" s="2">
        <v>12</v>
      </c>
      <c r="AE655" s="24"/>
      <c r="AF655" s="2">
        <v>10</v>
      </c>
      <c r="AG655" s="351"/>
      <c r="AH655" s="351"/>
      <c r="AI655" s="45" t="s">
        <v>256</v>
      </c>
      <c r="AJ655" s="117" t="s">
        <v>13</v>
      </c>
      <c r="AK655" s="24"/>
      <c r="AL655" s="351"/>
      <c r="AM655" s="351"/>
      <c r="AN655" s="46" t="s">
        <v>5818</v>
      </c>
      <c r="AO655" s="46" t="s">
        <v>5615</v>
      </c>
      <c r="AP655" s="46" t="s">
        <v>6987</v>
      </c>
      <c r="AQ655" s="46" t="s">
        <v>3457</v>
      </c>
      <c r="AR655" s="47">
        <v>44320</v>
      </c>
      <c r="AS655" s="46" t="s">
        <v>3457</v>
      </c>
      <c r="AT655" s="47">
        <v>44321</v>
      </c>
      <c r="AU655" s="1107" t="s">
        <v>37</v>
      </c>
    </row>
    <row r="656" spans="1:47" s="211" customFormat="1" ht="27" thickBot="1" x14ac:dyDescent="0.3">
      <c r="A656" s="336"/>
      <c r="B656" s="196"/>
      <c r="C656" s="96"/>
      <c r="D656" s="566"/>
      <c r="E656" s="566"/>
      <c r="F656" s="96"/>
      <c r="G656" s="147"/>
      <c r="H656" s="107"/>
      <c r="I656" s="123"/>
      <c r="J656" s="190">
        <v>2438</v>
      </c>
      <c r="K656" s="357" t="s">
        <v>5618</v>
      </c>
      <c r="L656" s="912">
        <v>1879478.733</v>
      </c>
      <c r="M656" s="912">
        <v>5558680.3342000004</v>
      </c>
      <c r="N656" s="107">
        <v>30</v>
      </c>
      <c r="O656" s="107" t="s">
        <v>5619</v>
      </c>
      <c r="P656" s="96" t="s">
        <v>193</v>
      </c>
      <c r="Q656" s="107"/>
      <c r="R656" s="107"/>
      <c r="S656" s="107"/>
      <c r="T656" s="107" t="s">
        <v>5671</v>
      </c>
      <c r="U656" s="104" t="s">
        <v>10</v>
      </c>
      <c r="V656" s="25" t="s">
        <v>16</v>
      </c>
      <c r="W656" s="25" t="s">
        <v>16</v>
      </c>
      <c r="X656" s="25" t="s">
        <v>194</v>
      </c>
      <c r="Y656" s="201" t="s">
        <v>6343</v>
      </c>
      <c r="Z656" s="52" t="s">
        <v>3461</v>
      </c>
      <c r="AA656" s="25">
        <v>2</v>
      </c>
      <c r="AB656" s="25">
        <v>2</v>
      </c>
      <c r="AC656" s="335" t="s">
        <v>5156</v>
      </c>
      <c r="AD656" s="25">
        <v>12</v>
      </c>
      <c r="AE656" s="25"/>
      <c r="AF656" s="25">
        <v>10</v>
      </c>
      <c r="AG656" s="386"/>
      <c r="AH656" s="386"/>
      <c r="AI656" s="51" t="s">
        <v>256</v>
      </c>
      <c r="AJ656" s="25" t="s">
        <v>13</v>
      </c>
      <c r="AK656" s="25"/>
      <c r="AL656" s="386"/>
      <c r="AM656" s="386"/>
      <c r="AN656" s="52" t="s">
        <v>5818</v>
      </c>
      <c r="AO656" s="52" t="s">
        <v>5615</v>
      </c>
      <c r="AP656" s="52" t="s">
        <v>6987</v>
      </c>
      <c r="AQ656" s="52" t="s">
        <v>3457</v>
      </c>
      <c r="AR656" s="53">
        <v>44320</v>
      </c>
      <c r="AS656" s="52" t="s">
        <v>3457</v>
      </c>
      <c r="AT656" s="53">
        <v>44321</v>
      </c>
      <c r="AU656" s="653" t="s">
        <v>37</v>
      </c>
    </row>
    <row r="657" spans="1:47" ht="52.5" thickBot="1" x14ac:dyDescent="0.3">
      <c r="A657" s="487" t="s">
        <v>1690</v>
      </c>
      <c r="B657" s="128" t="s">
        <v>1690</v>
      </c>
      <c r="C657" s="72">
        <v>318</v>
      </c>
      <c r="D657" s="586" t="s">
        <v>53</v>
      </c>
      <c r="E657" s="586" t="s">
        <v>52</v>
      </c>
      <c r="F657" s="72" t="s">
        <v>567</v>
      </c>
      <c r="G657" s="72" t="s">
        <v>1972</v>
      </c>
      <c r="H657" s="129" t="s">
        <v>5036</v>
      </c>
      <c r="I657" s="381" t="s">
        <v>5579</v>
      </c>
      <c r="J657" s="379">
        <v>1119</v>
      </c>
      <c r="K657" s="380" t="s">
        <v>1689</v>
      </c>
      <c r="L657" s="327">
        <v>1847030.6714000001</v>
      </c>
      <c r="M657" s="327">
        <v>5495100.3816</v>
      </c>
      <c r="N657" s="301"/>
      <c r="O657" s="301" t="s">
        <v>1688</v>
      </c>
      <c r="P657" s="379" t="s">
        <v>5</v>
      </c>
      <c r="Q657" s="301"/>
      <c r="R657" s="301"/>
      <c r="S657" s="301"/>
      <c r="T657" s="300" t="s">
        <v>1687</v>
      </c>
      <c r="U657" s="85" t="s">
        <v>16</v>
      </c>
      <c r="V657" s="86" t="s">
        <v>85</v>
      </c>
      <c r="W657" s="86" t="s">
        <v>85</v>
      </c>
      <c r="X657" s="197" t="s">
        <v>61</v>
      </c>
      <c r="Y657" s="329" t="s">
        <v>1686</v>
      </c>
      <c r="Z657" s="92" t="s">
        <v>604</v>
      </c>
      <c r="AA657" s="86"/>
      <c r="AB657" s="86" t="s">
        <v>1685</v>
      </c>
      <c r="AC657" s="86">
        <v>7</v>
      </c>
      <c r="AD657" s="86"/>
      <c r="AE657" s="86"/>
      <c r="AF657" s="86"/>
      <c r="AG657" s="387"/>
      <c r="AH657" s="387"/>
      <c r="AI657" s="94" t="s">
        <v>256</v>
      </c>
      <c r="AJ657" s="86"/>
      <c r="AK657" s="86"/>
      <c r="AL657" s="387"/>
      <c r="AM657" s="387"/>
      <c r="AN657" s="92" t="s">
        <v>1684</v>
      </c>
      <c r="AO657" s="92" t="s">
        <v>1683</v>
      </c>
      <c r="AP657" s="92" t="s">
        <v>1682</v>
      </c>
      <c r="AQ657" s="92" t="s">
        <v>1380</v>
      </c>
      <c r="AR657" s="93">
        <v>44069</v>
      </c>
      <c r="AS657" s="92" t="s">
        <v>1380</v>
      </c>
      <c r="AT657" s="93">
        <v>44091</v>
      </c>
      <c r="AU657" s="1108" t="s">
        <v>37</v>
      </c>
    </row>
    <row r="658" spans="1:47" ht="39.75" thickBot="1" x14ac:dyDescent="0.3">
      <c r="A658" s="489"/>
      <c r="B658" s="133"/>
      <c r="C658" s="78"/>
      <c r="D658" s="569"/>
      <c r="E658" s="569"/>
      <c r="F658" s="78"/>
      <c r="G658" s="78"/>
      <c r="H658" s="119"/>
      <c r="I658" s="429"/>
      <c r="J658" s="83">
        <v>2330</v>
      </c>
      <c r="K658" s="360" t="s">
        <v>5578</v>
      </c>
      <c r="L658" s="907">
        <v>1856313.879</v>
      </c>
      <c r="M658" s="907">
        <v>5502071.0743000004</v>
      </c>
      <c r="N658" s="199">
        <v>50</v>
      </c>
      <c r="O658" s="199" t="s">
        <v>5832</v>
      </c>
      <c r="P658" s="199" t="s">
        <v>61</v>
      </c>
      <c r="Q658" s="301"/>
      <c r="R658" s="301"/>
      <c r="S658" s="301"/>
      <c r="T658" s="300" t="s">
        <v>1210</v>
      </c>
      <c r="U658" s="294" t="s">
        <v>16</v>
      </c>
      <c r="V658" s="197" t="s">
        <v>85</v>
      </c>
      <c r="W658" s="197" t="s">
        <v>16</v>
      </c>
      <c r="X658" s="197" t="s">
        <v>61</v>
      </c>
      <c r="Y658" s="307" t="s">
        <v>5234</v>
      </c>
      <c r="Z658" s="92" t="s">
        <v>58</v>
      </c>
      <c r="AA658" s="197">
        <v>2</v>
      </c>
      <c r="AB658" s="307" t="s">
        <v>5156</v>
      </c>
      <c r="AC658" s="197">
        <v>12</v>
      </c>
      <c r="AD658" s="197"/>
      <c r="AE658" s="197"/>
      <c r="AF658" s="197">
        <v>10</v>
      </c>
      <c r="AG658" s="197"/>
      <c r="AH658" s="197"/>
      <c r="AI658" s="94" t="s">
        <v>256</v>
      </c>
      <c r="AJ658" s="197" t="s">
        <v>3459</v>
      </c>
      <c r="AK658" s="197"/>
      <c r="AL658" s="197"/>
      <c r="AM658" s="197"/>
      <c r="AN658" s="92" t="s">
        <v>5831</v>
      </c>
      <c r="AO658" s="292" t="s">
        <v>5157</v>
      </c>
      <c r="AP658" s="92" t="s">
        <v>1462</v>
      </c>
      <c r="AQ658" s="92" t="s">
        <v>3457</v>
      </c>
      <c r="AR658" s="93">
        <v>44243</v>
      </c>
      <c r="AS658" s="92" t="s">
        <v>3457</v>
      </c>
      <c r="AT658" s="291">
        <v>44270</v>
      </c>
      <c r="AU658" s="290" t="s">
        <v>37</v>
      </c>
    </row>
    <row r="659" spans="1:47" s="211" customFormat="1" ht="65.25" thickBot="1" x14ac:dyDescent="0.3">
      <c r="A659" s="334" t="s">
        <v>1893</v>
      </c>
      <c r="B659" s="333" t="s">
        <v>1893</v>
      </c>
      <c r="C659" s="84">
        <v>253</v>
      </c>
      <c r="D659" s="591" t="s">
        <v>57</v>
      </c>
      <c r="E659" s="591"/>
      <c r="F659" s="84" t="s">
        <v>668</v>
      </c>
      <c r="G659" s="149" t="s">
        <v>1238</v>
      </c>
      <c r="H659" s="109" t="s">
        <v>5520</v>
      </c>
      <c r="I659" s="124" t="s">
        <v>150</v>
      </c>
      <c r="J659" s="89">
        <v>257</v>
      </c>
      <c r="K659" s="396" t="s">
        <v>1893</v>
      </c>
      <c r="L659" s="265">
        <v>1829625.2083999999</v>
      </c>
      <c r="M659" s="265">
        <v>5630664.1102999998</v>
      </c>
      <c r="N659" s="109"/>
      <c r="O659" s="109" t="s">
        <v>1894</v>
      </c>
      <c r="P659" s="109" t="s">
        <v>193</v>
      </c>
      <c r="Q659" s="109"/>
      <c r="R659" s="109"/>
      <c r="S659" s="109"/>
      <c r="T659" s="343" t="s">
        <v>671</v>
      </c>
      <c r="U659" s="204" t="s">
        <v>16</v>
      </c>
      <c r="V659" s="204" t="s">
        <v>16</v>
      </c>
      <c r="W659" s="204" t="s">
        <v>16</v>
      </c>
      <c r="X659" s="176" t="s">
        <v>194</v>
      </c>
      <c r="Y659" s="204" t="s">
        <v>1896</v>
      </c>
      <c r="Z659" s="208" t="s">
        <v>1086</v>
      </c>
      <c r="AA659" s="176">
        <v>1</v>
      </c>
      <c r="AB659" s="176" t="s">
        <v>1895</v>
      </c>
      <c r="AC659" s="204">
        <v>17.7</v>
      </c>
      <c r="AD659" s="204">
        <v>17.100000000000001</v>
      </c>
      <c r="AE659" s="204">
        <v>18.3</v>
      </c>
      <c r="AF659" s="204"/>
      <c r="AG659" s="204"/>
      <c r="AH659" s="204"/>
      <c r="AI659" s="207" t="s">
        <v>256</v>
      </c>
      <c r="AJ659" s="205"/>
      <c r="AK659" s="205"/>
      <c r="AL659" s="353"/>
      <c r="AM659" s="353"/>
      <c r="AN659" s="94" t="s">
        <v>1897</v>
      </c>
      <c r="AO659" s="94" t="s">
        <v>1898</v>
      </c>
      <c r="AP659" s="208" t="s">
        <v>5521</v>
      </c>
      <c r="AQ659" s="208" t="s">
        <v>37</v>
      </c>
      <c r="AR659" s="209">
        <v>44103</v>
      </c>
      <c r="AS659" s="208" t="s">
        <v>37</v>
      </c>
      <c r="AT659" s="364"/>
      <c r="AU659" s="1109"/>
    </row>
    <row r="660" spans="1:47" s="211" customFormat="1" ht="65.25" thickBot="1" x14ac:dyDescent="0.3">
      <c r="A660" s="345" t="s">
        <v>1887</v>
      </c>
      <c r="B660" s="331" t="s">
        <v>1887</v>
      </c>
      <c r="C660" s="83">
        <v>259</v>
      </c>
      <c r="D660" s="588" t="s">
        <v>57</v>
      </c>
      <c r="E660" s="588"/>
      <c r="F660" s="83" t="s">
        <v>668</v>
      </c>
      <c r="G660" s="268" t="s">
        <v>1238</v>
      </c>
      <c r="H660" s="199" t="s">
        <v>5525</v>
      </c>
      <c r="I660" s="395" t="s">
        <v>150</v>
      </c>
      <c r="J660" s="87">
        <v>256</v>
      </c>
      <c r="K660" s="360" t="s">
        <v>1888</v>
      </c>
      <c r="L660" s="198">
        <v>1839034.1096000001</v>
      </c>
      <c r="M660" s="198">
        <v>5622582.4237000002</v>
      </c>
      <c r="N660" s="199"/>
      <c r="O660" s="199" t="s">
        <v>1889</v>
      </c>
      <c r="P660" s="199" t="s">
        <v>193</v>
      </c>
      <c r="Q660" s="199"/>
      <c r="R660" s="199"/>
      <c r="S660" s="199"/>
      <c r="T660" s="332" t="s">
        <v>1889</v>
      </c>
      <c r="U660" s="204" t="s">
        <v>16</v>
      </c>
      <c r="V660" s="204" t="s">
        <v>16</v>
      </c>
      <c r="W660" s="204" t="s">
        <v>16</v>
      </c>
      <c r="X660" s="176" t="s">
        <v>194</v>
      </c>
      <c r="Y660" s="204" t="s">
        <v>1890</v>
      </c>
      <c r="Z660" s="208" t="s">
        <v>604</v>
      </c>
      <c r="AA660" s="176">
        <v>1</v>
      </c>
      <c r="AB660" s="176" t="s">
        <v>1369</v>
      </c>
      <c r="AC660" s="204">
        <v>15</v>
      </c>
      <c r="AD660" s="204"/>
      <c r="AE660" s="204"/>
      <c r="AF660" s="204"/>
      <c r="AG660" s="204"/>
      <c r="AH660" s="204"/>
      <c r="AI660" s="207" t="s">
        <v>256</v>
      </c>
      <c r="AJ660" s="205"/>
      <c r="AK660" s="205"/>
      <c r="AL660" s="353"/>
      <c r="AM660" s="353"/>
      <c r="AN660" s="94" t="s">
        <v>1891</v>
      </c>
      <c r="AO660" s="94" t="s">
        <v>1892</v>
      </c>
      <c r="AP660" s="208" t="s">
        <v>1942</v>
      </c>
      <c r="AQ660" s="208" t="s">
        <v>37</v>
      </c>
      <c r="AR660" s="209">
        <v>44103</v>
      </c>
      <c r="AS660" s="208" t="s">
        <v>37</v>
      </c>
      <c r="AT660" s="364"/>
      <c r="AU660" s="1109"/>
    </row>
    <row r="661" spans="1:47" ht="65.25" thickBot="1" x14ac:dyDescent="0.3">
      <c r="A661" s="334" t="s">
        <v>3581</v>
      </c>
      <c r="B661" s="333" t="s">
        <v>6824</v>
      </c>
      <c r="C661" s="84">
        <v>538</v>
      </c>
      <c r="D661" s="591" t="s">
        <v>52</v>
      </c>
      <c r="E661" s="591"/>
      <c r="F661" s="84" t="s">
        <v>906</v>
      </c>
      <c r="G661" s="84" t="s">
        <v>1263</v>
      </c>
      <c r="H661" s="109" t="s">
        <v>5597</v>
      </c>
      <c r="I661" s="124" t="s">
        <v>5598</v>
      </c>
      <c r="J661" s="476">
        <v>1303</v>
      </c>
      <c r="K661" s="449" t="s">
        <v>3580</v>
      </c>
      <c r="L661" s="951">
        <v>1418188.0321</v>
      </c>
      <c r="M661" s="951">
        <v>5246845.9918</v>
      </c>
      <c r="N661" s="296"/>
      <c r="O661" s="296" t="s">
        <v>3209</v>
      </c>
      <c r="P661" s="110" t="s">
        <v>194</v>
      </c>
      <c r="Q661" s="296"/>
      <c r="R661" s="296"/>
      <c r="S661" s="296"/>
      <c r="T661" s="295" t="s">
        <v>3579</v>
      </c>
      <c r="U661" s="85" t="s">
        <v>10</v>
      </c>
      <c r="V661" s="86" t="s">
        <v>16</v>
      </c>
      <c r="W661" s="86" t="s">
        <v>16</v>
      </c>
      <c r="X661" s="197" t="s">
        <v>194</v>
      </c>
      <c r="Y661" s="197" t="s">
        <v>3578</v>
      </c>
      <c r="Z661" s="92" t="s">
        <v>3577</v>
      </c>
      <c r="AA661" s="86"/>
      <c r="AB661" s="86" t="s">
        <v>3576</v>
      </c>
      <c r="AC661" s="86">
        <v>58.3</v>
      </c>
      <c r="AD661" s="86">
        <f>58.3-3.9</f>
        <v>54.4</v>
      </c>
      <c r="AE661" s="86">
        <f>58.3+3.9</f>
        <v>62.199999999999996</v>
      </c>
      <c r="AF661" s="86"/>
      <c r="AG661" s="387"/>
      <c r="AH661" s="387"/>
      <c r="AI661" s="94" t="s">
        <v>23</v>
      </c>
      <c r="AJ661" s="86"/>
      <c r="AK661" s="86"/>
      <c r="AL661" s="387"/>
      <c r="AM661" s="387"/>
      <c r="AN661" s="92" t="s">
        <v>5596</v>
      </c>
      <c r="AO661" s="92" t="s">
        <v>3575</v>
      </c>
      <c r="AP661" s="92" t="s">
        <v>3574</v>
      </c>
      <c r="AQ661" s="92" t="s">
        <v>1380</v>
      </c>
      <c r="AR661" s="93">
        <v>44147</v>
      </c>
      <c r="AS661" s="92" t="s">
        <v>1380</v>
      </c>
      <c r="AT661" s="93">
        <v>44147</v>
      </c>
      <c r="AU661" s="1108" t="s">
        <v>37</v>
      </c>
    </row>
    <row r="662" spans="1:47" s="211" customFormat="1" ht="51.75" x14ac:dyDescent="0.25">
      <c r="A662" s="487" t="s">
        <v>2016</v>
      </c>
      <c r="B662" s="128" t="s">
        <v>2016</v>
      </c>
      <c r="C662" s="72">
        <v>827</v>
      </c>
      <c r="D662" s="586" t="s">
        <v>52</v>
      </c>
      <c r="E662" s="586"/>
      <c r="F662" s="72" t="s">
        <v>1262</v>
      </c>
      <c r="G662" s="140" t="s">
        <v>1263</v>
      </c>
      <c r="H662" s="129" t="s">
        <v>5599</v>
      </c>
      <c r="I662" s="381" t="s">
        <v>5600</v>
      </c>
      <c r="J662" s="187">
        <v>274</v>
      </c>
      <c r="K662" s="73" t="s">
        <v>2017</v>
      </c>
      <c r="L662" s="914">
        <v>1305264.3921000001</v>
      </c>
      <c r="M662" s="914">
        <v>4922496.6745999996</v>
      </c>
      <c r="N662" s="129"/>
      <c r="O662" s="129" t="s">
        <v>2022</v>
      </c>
      <c r="P662" s="129" t="s">
        <v>194</v>
      </c>
      <c r="Q662" s="1070"/>
      <c r="R662" s="1070"/>
      <c r="S662" s="1070"/>
      <c r="T662" s="266" t="s">
        <v>2025</v>
      </c>
      <c r="U662" s="169" t="s">
        <v>1481</v>
      </c>
      <c r="V662" s="151" t="s">
        <v>85</v>
      </c>
      <c r="W662" s="151" t="s">
        <v>85</v>
      </c>
      <c r="X662" s="153" t="s">
        <v>194</v>
      </c>
      <c r="Y662" s="202" t="s">
        <v>2028</v>
      </c>
      <c r="Z662" s="152" t="s">
        <v>289</v>
      </c>
      <c r="AA662" s="153">
        <v>1</v>
      </c>
      <c r="AB662" s="153" t="s">
        <v>2030</v>
      </c>
      <c r="AC662" s="151">
        <v>39.200000000000003</v>
      </c>
      <c r="AD662" s="151">
        <f>39.2-3.4</f>
        <v>35.800000000000004</v>
      </c>
      <c r="AE662" s="151">
        <f>39.2+3.4</f>
        <v>42.6</v>
      </c>
      <c r="AF662" s="151"/>
      <c r="AG662" s="151"/>
      <c r="AH662" s="151"/>
      <c r="AI662" s="203" t="s">
        <v>256</v>
      </c>
      <c r="AJ662" s="202"/>
      <c r="AK662" s="202"/>
      <c r="AL662" s="442"/>
      <c r="AM662" s="442"/>
      <c r="AN662" s="203" t="s">
        <v>2031</v>
      </c>
      <c r="AO662" s="203" t="s">
        <v>2033</v>
      </c>
      <c r="AP662" s="152" t="s">
        <v>2024</v>
      </c>
      <c r="AQ662" s="152" t="s">
        <v>37</v>
      </c>
      <c r="AR662" s="170">
        <v>44109</v>
      </c>
      <c r="AS662" s="152" t="s">
        <v>37</v>
      </c>
      <c r="AT662" s="361"/>
      <c r="AU662" s="1112"/>
    </row>
    <row r="663" spans="1:47" s="211" customFormat="1" ht="39" x14ac:dyDescent="0.25">
      <c r="A663" s="488"/>
      <c r="B663" s="131"/>
      <c r="C663" s="75"/>
      <c r="D663" s="568"/>
      <c r="E663" s="568"/>
      <c r="F663" s="75"/>
      <c r="G663" s="143"/>
      <c r="H663" s="118"/>
      <c r="I663" s="121"/>
      <c r="J663" s="188">
        <v>275</v>
      </c>
      <c r="K663" s="76" t="s">
        <v>2018</v>
      </c>
      <c r="L663" s="915">
        <v>1302264.7557999999</v>
      </c>
      <c r="M663" s="915">
        <v>4920790.4044000003</v>
      </c>
      <c r="N663" s="118"/>
      <c r="O663" s="118" t="s">
        <v>2022</v>
      </c>
      <c r="P663" s="118" t="s">
        <v>194</v>
      </c>
      <c r="Q663" s="1071"/>
      <c r="R663" s="1071"/>
      <c r="S663" s="1071"/>
      <c r="T663" s="601" t="s">
        <v>2025</v>
      </c>
      <c r="U663" s="138" t="s">
        <v>1481</v>
      </c>
      <c r="V663" s="136" t="s">
        <v>85</v>
      </c>
      <c r="W663" s="136" t="s">
        <v>85</v>
      </c>
      <c r="X663" s="132" t="s">
        <v>194</v>
      </c>
      <c r="Y663" s="173" t="s">
        <v>2029</v>
      </c>
      <c r="Z663" s="137" t="s">
        <v>289</v>
      </c>
      <c r="AA663" s="132">
        <v>1</v>
      </c>
      <c r="AB663" s="132" t="s">
        <v>2030</v>
      </c>
      <c r="AC663" s="136">
        <v>39.200000000000003</v>
      </c>
      <c r="AD663" s="136">
        <f>39.2-3.4</f>
        <v>35.800000000000004</v>
      </c>
      <c r="AE663" s="136">
        <f>39.2+3.4</f>
        <v>42.6</v>
      </c>
      <c r="AF663" s="136"/>
      <c r="AG663" s="136"/>
      <c r="AH663" s="136"/>
      <c r="AI663" s="180" t="s">
        <v>256</v>
      </c>
      <c r="AJ663" s="173"/>
      <c r="AK663" s="173"/>
      <c r="AL663" s="350"/>
      <c r="AM663" s="350"/>
      <c r="AN663" s="180" t="s">
        <v>2031</v>
      </c>
      <c r="AO663" s="180" t="s">
        <v>2033</v>
      </c>
      <c r="AP663" s="137" t="s">
        <v>2024</v>
      </c>
      <c r="AQ663" s="137" t="s">
        <v>37</v>
      </c>
      <c r="AR663" s="139">
        <v>44109</v>
      </c>
      <c r="AS663" s="137" t="s">
        <v>37</v>
      </c>
      <c r="AT663" s="358"/>
      <c r="AU663" s="1110"/>
    </row>
    <row r="664" spans="1:47" s="211" customFormat="1" ht="51.75" x14ac:dyDescent="0.25">
      <c r="A664" s="488"/>
      <c r="B664" s="131"/>
      <c r="C664" s="75"/>
      <c r="D664" s="568"/>
      <c r="E664" s="568"/>
      <c r="F664" s="75"/>
      <c r="G664" s="143"/>
      <c r="H664" s="118"/>
      <c r="I664" s="121"/>
      <c r="J664" s="188">
        <v>276</v>
      </c>
      <c r="K664" s="76" t="s">
        <v>2019</v>
      </c>
      <c r="L664" s="915">
        <v>1301964.6862000001</v>
      </c>
      <c r="M664" s="915">
        <v>4920589.5059000002</v>
      </c>
      <c r="N664" s="118"/>
      <c r="O664" s="118" t="s">
        <v>1845</v>
      </c>
      <c r="P664" s="118" t="s">
        <v>194</v>
      </c>
      <c r="Q664" s="1071"/>
      <c r="R664" s="1071"/>
      <c r="S664" s="1071"/>
      <c r="T664" s="601" t="s">
        <v>2026</v>
      </c>
      <c r="U664" s="138" t="s">
        <v>1481</v>
      </c>
      <c r="V664" s="136" t="s">
        <v>85</v>
      </c>
      <c r="W664" s="136" t="s">
        <v>85</v>
      </c>
      <c r="X664" s="132" t="s">
        <v>194</v>
      </c>
      <c r="Y664" s="173" t="s">
        <v>1474</v>
      </c>
      <c r="Z664" s="137" t="s">
        <v>289</v>
      </c>
      <c r="AA664" s="132">
        <v>1</v>
      </c>
      <c r="AB664" s="132" t="s">
        <v>2030</v>
      </c>
      <c r="AC664" s="136">
        <v>39.200000000000003</v>
      </c>
      <c r="AD664" s="136">
        <f>39.2-3.4</f>
        <v>35.800000000000004</v>
      </c>
      <c r="AE664" s="136">
        <f>39.2+3.4</f>
        <v>42.6</v>
      </c>
      <c r="AF664" s="136"/>
      <c r="AG664" s="136"/>
      <c r="AH664" s="136"/>
      <c r="AI664" s="180" t="s">
        <v>256</v>
      </c>
      <c r="AJ664" s="173"/>
      <c r="AK664" s="173"/>
      <c r="AL664" s="350"/>
      <c r="AM664" s="350"/>
      <c r="AN664" s="180" t="s">
        <v>2032</v>
      </c>
      <c r="AO664" s="180" t="s">
        <v>2033</v>
      </c>
      <c r="AP664" s="137" t="s">
        <v>2024</v>
      </c>
      <c r="AQ664" s="137" t="s">
        <v>37</v>
      </c>
      <c r="AR664" s="139">
        <v>44109</v>
      </c>
      <c r="AS664" s="137" t="s">
        <v>37</v>
      </c>
      <c r="AT664" s="358"/>
      <c r="AU664" s="1110"/>
    </row>
    <row r="665" spans="1:47" s="211" customFormat="1" ht="39.75" thickBot="1" x14ac:dyDescent="0.3">
      <c r="A665" s="489"/>
      <c r="B665" s="133"/>
      <c r="C665" s="78"/>
      <c r="D665" s="569"/>
      <c r="E665" s="569"/>
      <c r="F665" s="78"/>
      <c r="G665" s="144"/>
      <c r="H665" s="119"/>
      <c r="I665" s="429"/>
      <c r="J665" s="192">
        <v>277</v>
      </c>
      <c r="K665" s="79" t="s">
        <v>2020</v>
      </c>
      <c r="L665" s="916">
        <v>1294669.6688000001</v>
      </c>
      <c r="M665" s="916">
        <v>4913772.7227999996</v>
      </c>
      <c r="N665" s="119"/>
      <c r="O665" s="119" t="s">
        <v>2023</v>
      </c>
      <c r="P665" s="119" t="s">
        <v>194</v>
      </c>
      <c r="Q665" s="1072"/>
      <c r="R665" s="1072"/>
      <c r="S665" s="1072"/>
      <c r="T665" s="267" t="s">
        <v>2027</v>
      </c>
      <c r="U665" s="171" t="s">
        <v>1481</v>
      </c>
      <c r="V665" s="154" t="s">
        <v>85</v>
      </c>
      <c r="W665" s="154" t="s">
        <v>85</v>
      </c>
      <c r="X665" s="156" t="s">
        <v>194</v>
      </c>
      <c r="Y665" s="201" t="s">
        <v>1529</v>
      </c>
      <c r="Z665" s="155" t="s">
        <v>289</v>
      </c>
      <c r="AA665" s="156">
        <v>1</v>
      </c>
      <c r="AB665" s="156" t="s">
        <v>2030</v>
      </c>
      <c r="AC665" s="154">
        <v>39.200000000000003</v>
      </c>
      <c r="AD665" s="154">
        <f>39.2-3.4</f>
        <v>35.800000000000004</v>
      </c>
      <c r="AE665" s="154">
        <f>39.2+3.4</f>
        <v>42.6</v>
      </c>
      <c r="AF665" s="154"/>
      <c r="AG665" s="154"/>
      <c r="AH665" s="154"/>
      <c r="AI665" s="183" t="s">
        <v>256</v>
      </c>
      <c r="AJ665" s="201"/>
      <c r="AK665" s="201"/>
      <c r="AL665" s="443"/>
      <c r="AM665" s="443"/>
      <c r="AN665" s="183" t="s">
        <v>2031</v>
      </c>
      <c r="AO665" s="183" t="s">
        <v>2033</v>
      </c>
      <c r="AP665" s="155" t="s">
        <v>2024</v>
      </c>
      <c r="AQ665" s="155" t="s">
        <v>37</v>
      </c>
      <c r="AR665" s="172">
        <v>44109</v>
      </c>
      <c r="AS665" s="155" t="s">
        <v>37</v>
      </c>
      <c r="AT665" s="362"/>
      <c r="AU665" s="1111"/>
    </row>
    <row r="666" spans="1:47" s="211" customFormat="1" ht="39.75" thickBot="1" x14ac:dyDescent="0.3">
      <c r="A666" s="334" t="s">
        <v>3304</v>
      </c>
      <c r="B666" s="333" t="s">
        <v>3304</v>
      </c>
      <c r="C666" s="84">
        <v>6</v>
      </c>
      <c r="D666" s="591" t="s">
        <v>57</v>
      </c>
      <c r="E666" s="591"/>
      <c r="F666" s="84" t="s">
        <v>1553</v>
      </c>
      <c r="G666" s="149" t="s">
        <v>1238</v>
      </c>
      <c r="H666" s="109" t="s">
        <v>3306</v>
      </c>
      <c r="I666" s="124" t="s">
        <v>5490</v>
      </c>
      <c r="J666" s="89">
        <v>499</v>
      </c>
      <c r="K666" s="396" t="s">
        <v>3305</v>
      </c>
      <c r="L666" s="265">
        <v>1773814.0194999999</v>
      </c>
      <c r="M666" s="265">
        <v>5881602.0766000003</v>
      </c>
      <c r="N666" s="109"/>
      <c r="O666" s="109" t="s">
        <v>3306</v>
      </c>
      <c r="P666" s="109" t="s">
        <v>193</v>
      </c>
      <c r="Q666" s="109"/>
      <c r="R666" s="109"/>
      <c r="S666" s="109"/>
      <c r="T666" s="343" t="s">
        <v>3306</v>
      </c>
      <c r="U666" s="206" t="s">
        <v>16</v>
      </c>
      <c r="V666" s="204" t="s">
        <v>16</v>
      </c>
      <c r="W666" s="204" t="s">
        <v>16</v>
      </c>
      <c r="X666" s="176" t="s">
        <v>194</v>
      </c>
      <c r="Y666" s="205" t="s">
        <v>1317</v>
      </c>
      <c r="Z666" s="208" t="s">
        <v>3307</v>
      </c>
      <c r="AA666" s="176">
        <v>1</v>
      </c>
      <c r="AB666" s="176" t="s">
        <v>3296</v>
      </c>
      <c r="AC666" s="204"/>
      <c r="AD666" s="204">
        <v>900</v>
      </c>
      <c r="AE666" s="204">
        <v>1200</v>
      </c>
      <c r="AF666" s="204"/>
      <c r="AG666" s="204"/>
      <c r="AH666" s="204"/>
      <c r="AI666" s="207" t="s">
        <v>256</v>
      </c>
      <c r="AJ666" s="205"/>
      <c r="AK666" s="205"/>
      <c r="AL666" s="353"/>
      <c r="AM666" s="353"/>
      <c r="AN666" s="207" t="s">
        <v>3292</v>
      </c>
      <c r="AO666" s="207" t="s">
        <v>3293</v>
      </c>
      <c r="AP666" s="374" t="s">
        <v>3297</v>
      </c>
      <c r="AQ666" s="374" t="s">
        <v>37</v>
      </c>
      <c r="AR666" s="377">
        <v>44140</v>
      </c>
      <c r="AS666" s="374" t="s">
        <v>37</v>
      </c>
      <c r="AT666" s="364"/>
      <c r="AU666" s="1109"/>
    </row>
    <row r="667" spans="1:47" s="211" customFormat="1" ht="78" thickBot="1" x14ac:dyDescent="0.3">
      <c r="A667" s="345" t="s">
        <v>2134</v>
      </c>
      <c r="B667" s="331" t="s">
        <v>2134</v>
      </c>
      <c r="C667" s="83">
        <v>746</v>
      </c>
      <c r="D667" s="588" t="s">
        <v>52</v>
      </c>
      <c r="E667" s="588"/>
      <c r="F667" s="83" t="s">
        <v>668</v>
      </c>
      <c r="G667" s="268" t="s">
        <v>2241</v>
      </c>
      <c r="H667" s="199" t="s">
        <v>2142</v>
      </c>
      <c r="I667" s="395" t="s">
        <v>5601</v>
      </c>
      <c r="J667" s="87">
        <v>291</v>
      </c>
      <c r="K667" s="360" t="s">
        <v>2135</v>
      </c>
      <c r="L667" s="198">
        <v>1407527.16</v>
      </c>
      <c r="M667" s="198">
        <v>5039363.5871000001</v>
      </c>
      <c r="N667" s="199"/>
      <c r="O667" s="199" t="s">
        <v>2137</v>
      </c>
      <c r="P667" s="199" t="s">
        <v>194</v>
      </c>
      <c r="Q667" s="199"/>
      <c r="R667" s="199"/>
      <c r="S667" s="199"/>
      <c r="T667" s="332" t="s">
        <v>2142</v>
      </c>
      <c r="U667" s="204" t="s">
        <v>16</v>
      </c>
      <c r="V667" s="204" t="s">
        <v>85</v>
      </c>
      <c r="W667" s="204" t="s">
        <v>85</v>
      </c>
      <c r="X667" s="176" t="s">
        <v>194</v>
      </c>
      <c r="Y667" s="204">
        <v>0.9</v>
      </c>
      <c r="Z667" s="208" t="s">
        <v>289</v>
      </c>
      <c r="AA667" s="176">
        <v>1</v>
      </c>
      <c r="AB667" s="176" t="s">
        <v>2138</v>
      </c>
      <c r="AC667" s="204"/>
      <c r="AD667" s="204">
        <v>15.8</v>
      </c>
      <c r="AE667" s="204">
        <v>46</v>
      </c>
      <c r="AF667" s="204"/>
      <c r="AG667" s="204"/>
      <c r="AH667" s="204"/>
      <c r="AI667" s="207" t="s">
        <v>23</v>
      </c>
      <c r="AJ667" s="205"/>
      <c r="AK667" s="205"/>
      <c r="AL667" s="353"/>
      <c r="AM667" s="353"/>
      <c r="AN667" s="207" t="s">
        <v>2139</v>
      </c>
      <c r="AO667" s="207" t="s">
        <v>2140</v>
      </c>
      <c r="AP667" s="208" t="s">
        <v>2141</v>
      </c>
      <c r="AQ667" s="208" t="s">
        <v>37</v>
      </c>
      <c r="AR667" s="209">
        <v>44113</v>
      </c>
      <c r="AS667" s="208" t="s">
        <v>37</v>
      </c>
      <c r="AT667" s="364"/>
      <c r="AU667" s="1109"/>
    </row>
    <row r="668" spans="1:47" s="477" customFormat="1" ht="27" thickBot="1" x14ac:dyDescent="0.3">
      <c r="A668" s="334" t="s">
        <v>4608</v>
      </c>
      <c r="B668" s="333" t="s">
        <v>4608</v>
      </c>
      <c r="C668" s="84">
        <v>488</v>
      </c>
      <c r="D668" s="591" t="s">
        <v>52</v>
      </c>
      <c r="E668" s="591"/>
      <c r="F668" s="84" t="s">
        <v>4679</v>
      </c>
      <c r="G668" s="84" t="s">
        <v>1973</v>
      </c>
      <c r="H668" s="109" t="s">
        <v>5640</v>
      </c>
      <c r="I668" s="124" t="s">
        <v>5876</v>
      </c>
      <c r="J668" s="89">
        <v>2121</v>
      </c>
      <c r="K668" s="396" t="s">
        <v>3498</v>
      </c>
      <c r="L668" s="908">
        <v>1824803.6422999999</v>
      </c>
      <c r="M668" s="908">
        <v>5532034.2753999997</v>
      </c>
      <c r="N668" s="109"/>
      <c r="O668" s="109" t="s">
        <v>3541</v>
      </c>
      <c r="P668" s="109" t="s">
        <v>194</v>
      </c>
      <c r="Q668" s="296"/>
      <c r="R668" s="296"/>
      <c r="S668" s="296"/>
      <c r="T668" s="295" t="s">
        <v>5640</v>
      </c>
      <c r="U668" s="294" t="s">
        <v>10</v>
      </c>
      <c r="V668" s="197" t="s">
        <v>16</v>
      </c>
      <c r="W668" s="197" t="s">
        <v>16</v>
      </c>
      <c r="X668" s="197" t="s">
        <v>194</v>
      </c>
      <c r="Y668" s="307" t="s">
        <v>3500</v>
      </c>
      <c r="Z668" s="92" t="s">
        <v>3496</v>
      </c>
      <c r="AA668" s="197">
        <v>1</v>
      </c>
      <c r="AB668" s="307" t="s">
        <v>3465</v>
      </c>
      <c r="AC668" s="197">
        <v>24</v>
      </c>
      <c r="AD668" s="197"/>
      <c r="AE668" s="197"/>
      <c r="AF668" s="197">
        <v>12</v>
      </c>
      <c r="AG668" s="197"/>
      <c r="AH668" s="197"/>
      <c r="AI668" s="94" t="s">
        <v>256</v>
      </c>
      <c r="AJ668" s="197" t="s">
        <v>13</v>
      </c>
      <c r="AK668" s="197"/>
      <c r="AL668" s="197"/>
      <c r="AM668" s="197"/>
      <c r="AN668" s="94" t="s">
        <v>3495</v>
      </c>
      <c r="AO668" s="292" t="s">
        <v>3494</v>
      </c>
      <c r="AP668" s="92" t="s">
        <v>6923</v>
      </c>
      <c r="AQ668" s="92" t="s">
        <v>3457</v>
      </c>
      <c r="AR668" s="93">
        <v>44137</v>
      </c>
      <c r="AS668" s="92" t="s">
        <v>3457</v>
      </c>
      <c r="AT668" s="93">
        <v>44147</v>
      </c>
      <c r="AU668" s="1108" t="s">
        <v>37</v>
      </c>
    </row>
    <row r="669" spans="1:47" s="211" customFormat="1" ht="39.75" thickBot="1" x14ac:dyDescent="0.3">
      <c r="A669" s="131" t="s">
        <v>5888</v>
      </c>
      <c r="B669" s="131" t="s">
        <v>5888</v>
      </c>
      <c r="C669" s="75">
        <v>201</v>
      </c>
      <c r="D669" s="568" t="s">
        <v>57</v>
      </c>
      <c r="E669" s="568"/>
      <c r="F669" s="75" t="s">
        <v>4679</v>
      </c>
      <c r="G669" s="143" t="s">
        <v>1238</v>
      </c>
      <c r="H669" s="118" t="s">
        <v>5889</v>
      </c>
      <c r="I669" s="121" t="s">
        <v>5879</v>
      </c>
      <c r="J669" s="188">
        <v>892</v>
      </c>
      <c r="K669" s="76" t="s">
        <v>6291</v>
      </c>
      <c r="L669" s="959">
        <v>1913732.0626999999</v>
      </c>
      <c r="M669" s="959">
        <v>5765060.6887999997</v>
      </c>
      <c r="N669" s="118"/>
      <c r="O669" s="118" t="s">
        <v>5889</v>
      </c>
      <c r="P669" s="118" t="s">
        <v>193</v>
      </c>
      <c r="Q669" s="312"/>
      <c r="R669" s="312"/>
      <c r="S669" s="312"/>
      <c r="T669" s="305" t="s">
        <v>5889</v>
      </c>
      <c r="U669" s="169" t="s">
        <v>10</v>
      </c>
      <c r="V669" s="151" t="s">
        <v>16</v>
      </c>
      <c r="W669" s="151" t="s">
        <v>16</v>
      </c>
      <c r="X669" s="153" t="s">
        <v>194</v>
      </c>
      <c r="Y669" s="153" t="s">
        <v>6163</v>
      </c>
      <c r="Z669" s="152" t="s">
        <v>6292</v>
      </c>
      <c r="AA669" s="153">
        <v>1</v>
      </c>
      <c r="AB669" s="153" t="s">
        <v>6164</v>
      </c>
      <c r="AC669" s="151">
        <v>347</v>
      </c>
      <c r="AD669" s="151">
        <v>342000</v>
      </c>
      <c r="AE669" s="151">
        <v>352000</v>
      </c>
      <c r="AF669" s="151"/>
      <c r="AG669" s="151"/>
      <c r="AH669" s="151"/>
      <c r="AI669" s="203" t="s">
        <v>256</v>
      </c>
      <c r="AJ669" s="202"/>
      <c r="AK669" s="202"/>
      <c r="AL669" s="442"/>
      <c r="AM669" s="442"/>
      <c r="AN669" s="203" t="s">
        <v>6084</v>
      </c>
      <c r="AO669" s="203" t="s">
        <v>6285</v>
      </c>
      <c r="AP669" s="152" t="s">
        <v>6121</v>
      </c>
      <c r="AQ669" s="152" t="s">
        <v>37</v>
      </c>
      <c r="AR669" s="170">
        <v>44316</v>
      </c>
      <c r="AS669" s="152" t="s">
        <v>37</v>
      </c>
      <c r="AT669" s="361"/>
      <c r="AU669" s="1112"/>
    </row>
    <row r="670" spans="1:47" s="211" customFormat="1" ht="52.5" thickBot="1" x14ac:dyDescent="0.3">
      <c r="A670" s="341" t="s">
        <v>5960</v>
      </c>
      <c r="B670" s="181" t="s">
        <v>5960</v>
      </c>
      <c r="C670" s="125">
        <v>229</v>
      </c>
      <c r="D670" s="585" t="s">
        <v>57</v>
      </c>
      <c r="E670" s="585"/>
      <c r="F670" s="125" t="s">
        <v>4679</v>
      </c>
      <c r="G670" s="145" t="s">
        <v>1238</v>
      </c>
      <c r="H670" s="126" t="s">
        <v>5961</v>
      </c>
      <c r="I670" s="247" t="s">
        <v>6211</v>
      </c>
      <c r="J670" s="189">
        <v>899</v>
      </c>
      <c r="K670" s="355" t="s">
        <v>6188</v>
      </c>
      <c r="L670" s="897">
        <v>1865621.1717999999</v>
      </c>
      <c r="M670" s="897">
        <v>5720071.0005999999</v>
      </c>
      <c r="N670" s="126"/>
      <c r="O670" s="126">
        <v>0.16</v>
      </c>
      <c r="P670" s="126" t="s">
        <v>194</v>
      </c>
      <c r="Q670" s="255"/>
      <c r="R670" s="255"/>
      <c r="S670" s="255" t="s">
        <v>6190</v>
      </c>
      <c r="T670" s="289" t="s">
        <v>6192</v>
      </c>
      <c r="U670" s="169" t="s">
        <v>10</v>
      </c>
      <c r="V670" s="151" t="s">
        <v>16</v>
      </c>
      <c r="W670" s="151" t="s">
        <v>16</v>
      </c>
      <c r="X670" s="153" t="s">
        <v>194</v>
      </c>
      <c r="Y670" s="153" t="s">
        <v>6194</v>
      </c>
      <c r="Z670" s="152" t="s">
        <v>6196</v>
      </c>
      <c r="AA670" s="153">
        <v>1</v>
      </c>
      <c r="AB670" s="153" t="s">
        <v>6197</v>
      </c>
      <c r="AC670" s="151">
        <v>27100</v>
      </c>
      <c r="AD670" s="151">
        <v>27000</v>
      </c>
      <c r="AE670" s="151">
        <v>27200</v>
      </c>
      <c r="AF670" s="151"/>
      <c r="AG670" s="151"/>
      <c r="AH670" s="151"/>
      <c r="AI670" s="203" t="s">
        <v>256</v>
      </c>
      <c r="AJ670" s="202"/>
      <c r="AK670" s="202"/>
      <c r="AL670" s="442"/>
      <c r="AM670" s="442"/>
      <c r="AN670" s="203" t="s">
        <v>6084</v>
      </c>
      <c r="AO670" s="203" t="s">
        <v>6285</v>
      </c>
      <c r="AP670" s="152" t="s">
        <v>6121</v>
      </c>
      <c r="AQ670" s="152" t="s">
        <v>37</v>
      </c>
      <c r="AR670" s="170">
        <v>44316</v>
      </c>
      <c r="AS670" s="152" t="s">
        <v>37</v>
      </c>
      <c r="AT670" s="361"/>
      <c r="AU670" s="1112"/>
    </row>
    <row r="671" spans="1:47" s="211" customFormat="1" ht="39.75" thickBot="1" x14ac:dyDescent="0.3">
      <c r="A671" s="336"/>
      <c r="B671" s="196"/>
      <c r="C671" s="96"/>
      <c r="D671" s="566"/>
      <c r="E671" s="566"/>
      <c r="F671" s="96"/>
      <c r="G671" s="147"/>
      <c r="H671" s="107"/>
      <c r="I671" s="123"/>
      <c r="J671" s="190">
        <v>900</v>
      </c>
      <c r="K671" s="357" t="s">
        <v>6189</v>
      </c>
      <c r="L671" s="898">
        <v>1865799.5401999999</v>
      </c>
      <c r="M671" s="898">
        <v>5720082.4156999998</v>
      </c>
      <c r="N671" s="107"/>
      <c r="O671" s="107">
        <v>0.13</v>
      </c>
      <c r="P671" s="107" t="s">
        <v>194</v>
      </c>
      <c r="Q671" s="262"/>
      <c r="R671" s="262"/>
      <c r="S671" s="262" t="s">
        <v>6191</v>
      </c>
      <c r="T671" s="274" t="s">
        <v>6193</v>
      </c>
      <c r="U671" s="169" t="s">
        <v>10</v>
      </c>
      <c r="V671" s="151" t="s">
        <v>16</v>
      </c>
      <c r="W671" s="151" t="s">
        <v>16</v>
      </c>
      <c r="X671" s="153" t="s">
        <v>194</v>
      </c>
      <c r="Y671" s="153" t="s">
        <v>6195</v>
      </c>
      <c r="Z671" s="152" t="s">
        <v>6196</v>
      </c>
      <c r="AA671" s="153">
        <v>1</v>
      </c>
      <c r="AB671" s="153" t="s">
        <v>6197</v>
      </c>
      <c r="AC671" s="151">
        <v>27100</v>
      </c>
      <c r="AD671" s="151">
        <v>27000</v>
      </c>
      <c r="AE671" s="151">
        <v>27200</v>
      </c>
      <c r="AF671" s="151"/>
      <c r="AG671" s="151"/>
      <c r="AH671" s="151"/>
      <c r="AI671" s="203" t="s">
        <v>256</v>
      </c>
      <c r="AJ671" s="202"/>
      <c r="AK671" s="202"/>
      <c r="AL671" s="442"/>
      <c r="AM671" s="442"/>
      <c r="AN671" s="203" t="s">
        <v>6084</v>
      </c>
      <c r="AO671" s="203" t="s">
        <v>6285</v>
      </c>
      <c r="AP671" s="152" t="s">
        <v>6121</v>
      </c>
      <c r="AQ671" s="152" t="s">
        <v>37</v>
      </c>
      <c r="AR671" s="170">
        <v>44316</v>
      </c>
      <c r="AS671" s="152" t="s">
        <v>37</v>
      </c>
      <c r="AT671" s="361"/>
      <c r="AU671" s="1112"/>
    </row>
    <row r="672" spans="1:47" s="135" customFormat="1" ht="39.75" thickBot="1" x14ac:dyDescent="0.3">
      <c r="A672" s="345" t="s">
        <v>1338</v>
      </c>
      <c r="B672" s="331" t="s">
        <v>1338</v>
      </c>
      <c r="C672" s="83">
        <v>11</v>
      </c>
      <c r="D672" s="588" t="s">
        <v>57</v>
      </c>
      <c r="E672" s="588"/>
      <c r="F672" s="83" t="s">
        <v>4679</v>
      </c>
      <c r="G672" s="268" t="s">
        <v>1238</v>
      </c>
      <c r="H672" s="199" t="s">
        <v>1331</v>
      </c>
      <c r="I672" s="395" t="s">
        <v>5481</v>
      </c>
      <c r="J672" s="87">
        <v>243</v>
      </c>
      <c r="K672" s="360" t="s">
        <v>1309</v>
      </c>
      <c r="L672" s="960">
        <v>1826314.5145</v>
      </c>
      <c r="M672" s="960">
        <v>5838964.8925000001</v>
      </c>
      <c r="N672" s="1069"/>
      <c r="O672" s="199" t="s">
        <v>1315</v>
      </c>
      <c r="P672" s="199" t="s">
        <v>194</v>
      </c>
      <c r="Q672" s="1088"/>
      <c r="R672" s="1088"/>
      <c r="S672" s="1088"/>
      <c r="T672" s="332" t="s">
        <v>1331</v>
      </c>
      <c r="U672" s="206" t="s">
        <v>16</v>
      </c>
      <c r="V672" s="204" t="s">
        <v>16</v>
      </c>
      <c r="W672" s="204" t="s">
        <v>16</v>
      </c>
      <c r="X672" s="176" t="s">
        <v>194</v>
      </c>
      <c r="Y672" s="243" t="s">
        <v>1321</v>
      </c>
      <c r="Z672" s="208" t="s">
        <v>1323</v>
      </c>
      <c r="AA672" s="176">
        <v>1</v>
      </c>
      <c r="AB672" s="176" t="s">
        <v>1324</v>
      </c>
      <c r="AC672" s="204">
        <v>20</v>
      </c>
      <c r="AD672" s="204">
        <v>17.5</v>
      </c>
      <c r="AE672" s="204">
        <v>22.5</v>
      </c>
      <c r="AF672" s="204"/>
      <c r="AG672" s="204"/>
      <c r="AH672" s="204"/>
      <c r="AI672" s="207" t="s">
        <v>256</v>
      </c>
      <c r="AJ672" s="205"/>
      <c r="AK672" s="205"/>
      <c r="AL672" s="353"/>
      <c r="AM672" s="353"/>
      <c r="AN672" s="207" t="s">
        <v>1334</v>
      </c>
      <c r="AO672" s="207" t="s">
        <v>1335</v>
      </c>
      <c r="AP672" s="208" t="s">
        <v>1322</v>
      </c>
      <c r="AQ672" s="208" t="s">
        <v>37</v>
      </c>
      <c r="AR672" s="209">
        <v>44097</v>
      </c>
      <c r="AS672" s="208" t="s">
        <v>37</v>
      </c>
      <c r="AT672" s="364"/>
      <c r="AU672" s="1109"/>
    </row>
    <row r="673" spans="1:47" s="211" customFormat="1" ht="141" x14ac:dyDescent="0.25">
      <c r="A673" s="341" t="s">
        <v>5952</v>
      </c>
      <c r="B673" s="181" t="s">
        <v>5952</v>
      </c>
      <c r="C673" s="125">
        <v>192</v>
      </c>
      <c r="D673" s="585" t="s">
        <v>57</v>
      </c>
      <c r="E673" s="585"/>
      <c r="F673" s="125" t="s">
        <v>4679</v>
      </c>
      <c r="G673" s="145" t="s">
        <v>1238</v>
      </c>
      <c r="H673" s="126" t="s">
        <v>5953</v>
      </c>
      <c r="I673" s="247" t="s">
        <v>6101</v>
      </c>
      <c r="J673" s="189">
        <v>935</v>
      </c>
      <c r="K673" s="355" t="s">
        <v>5998</v>
      </c>
      <c r="L673" s="897">
        <v>1931420.1285000001</v>
      </c>
      <c r="M673" s="897">
        <v>5782222.7088000001</v>
      </c>
      <c r="N673" s="126"/>
      <c r="O673" s="126" t="s">
        <v>6007</v>
      </c>
      <c r="P673" s="126" t="s">
        <v>193</v>
      </c>
      <c r="Q673" s="255"/>
      <c r="R673" s="255"/>
      <c r="S673" s="255"/>
      <c r="T673" s="344" t="s">
        <v>6007</v>
      </c>
      <c r="U673" s="236" t="s">
        <v>10</v>
      </c>
      <c r="V673" s="153" t="s">
        <v>16</v>
      </c>
      <c r="W673" s="153" t="s">
        <v>16</v>
      </c>
      <c r="X673" s="153" t="s">
        <v>194</v>
      </c>
      <c r="Y673" s="604" t="s">
        <v>6102</v>
      </c>
      <c r="Z673" s="152" t="s">
        <v>6008</v>
      </c>
      <c r="AA673" s="153">
        <v>1</v>
      </c>
      <c r="AB673" s="604" t="s">
        <v>6009</v>
      </c>
      <c r="AC673" s="153">
        <v>61.25</v>
      </c>
      <c r="AD673" s="153">
        <v>59.6</v>
      </c>
      <c r="AE673" s="153">
        <v>60.424999999999997</v>
      </c>
      <c r="AF673" s="153"/>
      <c r="AG673" s="153"/>
      <c r="AH673" s="153"/>
      <c r="AI673" s="203" t="s">
        <v>256</v>
      </c>
      <c r="AJ673" s="153"/>
      <c r="AK673" s="153"/>
      <c r="AL673" s="153"/>
      <c r="AM673" s="153"/>
      <c r="AN673" s="203" t="s">
        <v>6084</v>
      </c>
      <c r="AO673" s="237" t="s">
        <v>6010</v>
      </c>
      <c r="AP673" s="152" t="s">
        <v>5969</v>
      </c>
      <c r="AQ673" s="152" t="s">
        <v>37</v>
      </c>
      <c r="AR673" s="170">
        <v>44313</v>
      </c>
      <c r="AS673" s="152"/>
      <c r="AT673" s="170"/>
      <c r="AU673" s="1112"/>
    </row>
    <row r="674" spans="1:47" s="211" customFormat="1" ht="39" x14ac:dyDescent="0.25">
      <c r="A674" s="339"/>
      <c r="B674" s="116"/>
      <c r="C674" s="95"/>
      <c r="D674" s="567"/>
      <c r="E674" s="567"/>
      <c r="F674" s="95"/>
      <c r="G674" s="146"/>
      <c r="H674" s="108"/>
      <c r="I674" s="122"/>
      <c r="J674" s="191">
        <v>936</v>
      </c>
      <c r="K674" s="359" t="s">
        <v>5999</v>
      </c>
      <c r="L674" s="896">
        <v>1930747.7328999999</v>
      </c>
      <c r="M674" s="896">
        <v>5781862.6973000001</v>
      </c>
      <c r="N674" s="108"/>
      <c r="O674" s="108" t="s">
        <v>6054</v>
      </c>
      <c r="P674" s="108" t="s">
        <v>193</v>
      </c>
      <c r="Q674" s="259"/>
      <c r="R674" s="259"/>
      <c r="S674" s="259"/>
      <c r="T674" s="184" t="s">
        <v>6054</v>
      </c>
      <c r="U674" s="605" t="s">
        <v>10</v>
      </c>
      <c r="V674" s="132" t="s">
        <v>16</v>
      </c>
      <c r="W674" s="132" t="s">
        <v>16</v>
      </c>
      <c r="X674" s="132" t="s">
        <v>194</v>
      </c>
      <c r="Y674" s="370" t="s">
        <v>6103</v>
      </c>
      <c r="Z674" s="137" t="s">
        <v>6008</v>
      </c>
      <c r="AA674" s="132">
        <v>1</v>
      </c>
      <c r="AB674" s="370" t="s">
        <v>6009</v>
      </c>
      <c r="AC674" s="132">
        <v>61.25</v>
      </c>
      <c r="AD674" s="132">
        <v>59.6</v>
      </c>
      <c r="AE674" s="132">
        <v>60.424999999999997</v>
      </c>
      <c r="AF674" s="132"/>
      <c r="AG674" s="132"/>
      <c r="AH674" s="132"/>
      <c r="AI674" s="180" t="s">
        <v>256</v>
      </c>
      <c r="AJ674" s="132"/>
      <c r="AK674" s="132"/>
      <c r="AL674" s="132"/>
      <c r="AM674" s="132"/>
      <c r="AN674" s="180" t="s">
        <v>6084</v>
      </c>
      <c r="AO674" s="212" t="s">
        <v>6010</v>
      </c>
      <c r="AP674" s="137" t="s">
        <v>5969</v>
      </c>
      <c r="AQ674" s="137" t="s">
        <v>37</v>
      </c>
      <c r="AR674" s="139">
        <v>44314</v>
      </c>
      <c r="AS674" s="137"/>
      <c r="AT674" s="139"/>
      <c r="AU674" s="1110"/>
    </row>
    <row r="675" spans="1:47" s="211" customFormat="1" ht="39" x14ac:dyDescent="0.25">
      <c r="A675" s="339"/>
      <c r="B675" s="116"/>
      <c r="C675" s="95"/>
      <c r="D675" s="567"/>
      <c r="E675" s="567"/>
      <c r="F675" s="95"/>
      <c r="G675" s="146"/>
      <c r="H675" s="108"/>
      <c r="I675" s="122"/>
      <c r="J675" s="191">
        <v>937</v>
      </c>
      <c r="K675" s="359" t="s">
        <v>6000</v>
      </c>
      <c r="L675" s="896">
        <v>1930888.7594000001</v>
      </c>
      <c r="M675" s="896">
        <v>5781935.6887999997</v>
      </c>
      <c r="N675" s="108"/>
      <c r="O675" s="108" t="s">
        <v>6055</v>
      </c>
      <c r="P675" s="108" t="s">
        <v>193</v>
      </c>
      <c r="Q675" s="259"/>
      <c r="R675" s="259"/>
      <c r="S675" s="259"/>
      <c r="T675" s="184" t="s">
        <v>6055</v>
      </c>
      <c r="U675" s="605" t="s">
        <v>10</v>
      </c>
      <c r="V675" s="132" t="s">
        <v>16</v>
      </c>
      <c r="W675" s="132" t="s">
        <v>16</v>
      </c>
      <c r="X675" s="132" t="s">
        <v>194</v>
      </c>
      <c r="Y675" s="370" t="s">
        <v>6104</v>
      </c>
      <c r="Z675" s="137" t="s">
        <v>6008</v>
      </c>
      <c r="AA675" s="132">
        <v>1</v>
      </c>
      <c r="AB675" s="370" t="s">
        <v>6009</v>
      </c>
      <c r="AC675" s="132">
        <v>61.25</v>
      </c>
      <c r="AD675" s="132">
        <v>59.6</v>
      </c>
      <c r="AE675" s="132">
        <v>60.424999999999997</v>
      </c>
      <c r="AF675" s="132"/>
      <c r="AG675" s="132"/>
      <c r="AH675" s="132"/>
      <c r="AI675" s="180" t="s">
        <v>256</v>
      </c>
      <c r="AJ675" s="132"/>
      <c r="AK675" s="132"/>
      <c r="AL675" s="132"/>
      <c r="AM675" s="132"/>
      <c r="AN675" s="180" t="s">
        <v>6084</v>
      </c>
      <c r="AO675" s="212" t="s">
        <v>6010</v>
      </c>
      <c r="AP675" s="137" t="s">
        <v>5969</v>
      </c>
      <c r="AQ675" s="137" t="s">
        <v>37</v>
      </c>
      <c r="AR675" s="139">
        <v>44314</v>
      </c>
      <c r="AS675" s="137"/>
      <c r="AT675" s="139"/>
      <c r="AU675" s="1110"/>
    </row>
    <row r="676" spans="1:47" s="211" customFormat="1" ht="39" x14ac:dyDescent="0.25">
      <c r="A676" s="339"/>
      <c r="B676" s="116"/>
      <c r="C676" s="95"/>
      <c r="D676" s="567"/>
      <c r="E676" s="567"/>
      <c r="F676" s="95"/>
      <c r="G676" s="146"/>
      <c r="H676" s="108"/>
      <c r="I676" s="122"/>
      <c r="J676" s="191">
        <v>938</v>
      </c>
      <c r="K676" s="359" t="s">
        <v>6001</v>
      </c>
      <c r="L676" s="896">
        <v>1931095.6850000001</v>
      </c>
      <c r="M676" s="896">
        <v>5782044.7307000002</v>
      </c>
      <c r="N676" s="108"/>
      <c r="O676" s="108" t="s">
        <v>6056</v>
      </c>
      <c r="P676" s="108" t="s">
        <v>193</v>
      </c>
      <c r="Q676" s="259"/>
      <c r="R676" s="259"/>
      <c r="S676" s="259"/>
      <c r="T676" s="184" t="s">
        <v>6056</v>
      </c>
      <c r="U676" s="605" t="s">
        <v>10</v>
      </c>
      <c r="V676" s="132" t="s">
        <v>16</v>
      </c>
      <c r="W676" s="132" t="s">
        <v>16</v>
      </c>
      <c r="X676" s="132" t="s">
        <v>194</v>
      </c>
      <c r="Y676" s="370" t="s">
        <v>6105</v>
      </c>
      <c r="Z676" s="137" t="s">
        <v>6008</v>
      </c>
      <c r="AA676" s="132">
        <v>1</v>
      </c>
      <c r="AB676" s="370" t="s">
        <v>6009</v>
      </c>
      <c r="AC676" s="132">
        <v>61.25</v>
      </c>
      <c r="AD676" s="132">
        <v>59.6</v>
      </c>
      <c r="AE676" s="132">
        <v>60.424999999999997</v>
      </c>
      <c r="AF676" s="132"/>
      <c r="AG676" s="132"/>
      <c r="AH676" s="132"/>
      <c r="AI676" s="180" t="s">
        <v>256</v>
      </c>
      <c r="AJ676" s="132"/>
      <c r="AK676" s="132"/>
      <c r="AL676" s="132"/>
      <c r="AM676" s="132"/>
      <c r="AN676" s="180" t="s">
        <v>6084</v>
      </c>
      <c r="AO676" s="212" t="s">
        <v>6010</v>
      </c>
      <c r="AP676" s="137" t="s">
        <v>5969</v>
      </c>
      <c r="AQ676" s="137" t="s">
        <v>37</v>
      </c>
      <c r="AR676" s="139">
        <v>44314</v>
      </c>
      <c r="AS676" s="137"/>
      <c r="AT676" s="139"/>
      <c r="AU676" s="1110"/>
    </row>
    <row r="677" spans="1:47" s="211" customFormat="1" ht="39" x14ac:dyDescent="0.25">
      <c r="A677" s="339"/>
      <c r="B677" s="116"/>
      <c r="C677" s="95"/>
      <c r="D677" s="567"/>
      <c r="E677" s="567"/>
      <c r="F677" s="95"/>
      <c r="G677" s="146"/>
      <c r="H677" s="108"/>
      <c r="I677" s="122"/>
      <c r="J677" s="191">
        <v>939</v>
      </c>
      <c r="K677" s="359" t="s">
        <v>6002</v>
      </c>
      <c r="L677" s="896">
        <v>1931646.6085999999</v>
      </c>
      <c r="M677" s="896">
        <v>5782362.5870000003</v>
      </c>
      <c r="N677" s="108"/>
      <c r="O677" s="108" t="s">
        <v>6057</v>
      </c>
      <c r="P677" s="108" t="s">
        <v>193</v>
      </c>
      <c r="Q677" s="259"/>
      <c r="R677" s="259"/>
      <c r="S677" s="259"/>
      <c r="T677" s="184" t="s">
        <v>6057</v>
      </c>
      <c r="U677" s="605" t="s">
        <v>10</v>
      </c>
      <c r="V677" s="132" t="s">
        <v>16</v>
      </c>
      <c r="W677" s="132" t="s">
        <v>16</v>
      </c>
      <c r="X677" s="132" t="s">
        <v>194</v>
      </c>
      <c r="Y677" s="370" t="s">
        <v>6106</v>
      </c>
      <c r="Z677" s="137" t="s">
        <v>6008</v>
      </c>
      <c r="AA677" s="132">
        <v>1</v>
      </c>
      <c r="AB677" s="370" t="s">
        <v>6009</v>
      </c>
      <c r="AC677" s="132">
        <v>61.25</v>
      </c>
      <c r="AD677" s="132">
        <v>59.6</v>
      </c>
      <c r="AE677" s="132">
        <v>60.424999999999997</v>
      </c>
      <c r="AF677" s="132"/>
      <c r="AG677" s="132"/>
      <c r="AH677" s="132"/>
      <c r="AI677" s="180" t="s">
        <v>256</v>
      </c>
      <c r="AJ677" s="132"/>
      <c r="AK677" s="132"/>
      <c r="AL677" s="132"/>
      <c r="AM677" s="132"/>
      <c r="AN677" s="180" t="s">
        <v>6084</v>
      </c>
      <c r="AO677" s="212" t="s">
        <v>6010</v>
      </c>
      <c r="AP677" s="137" t="s">
        <v>5969</v>
      </c>
      <c r="AQ677" s="137" t="s">
        <v>37</v>
      </c>
      <c r="AR677" s="139">
        <v>44314</v>
      </c>
      <c r="AS677" s="137"/>
      <c r="AT677" s="139"/>
      <c r="AU677" s="1110"/>
    </row>
    <row r="678" spans="1:47" s="211" customFormat="1" ht="39" x14ac:dyDescent="0.25">
      <c r="A678" s="339"/>
      <c r="B678" s="116"/>
      <c r="C678" s="95"/>
      <c r="D678" s="567"/>
      <c r="E678" s="567"/>
      <c r="F678" s="95"/>
      <c r="G678" s="146"/>
      <c r="H678" s="108"/>
      <c r="I678" s="122"/>
      <c r="J678" s="191">
        <v>940</v>
      </c>
      <c r="K678" s="359" t="s">
        <v>6003</v>
      </c>
      <c r="L678" s="896">
        <v>1931881.1676</v>
      </c>
      <c r="M678" s="896">
        <v>5782546.1731000002</v>
      </c>
      <c r="N678" s="108"/>
      <c r="O678" s="108" t="s">
        <v>6058</v>
      </c>
      <c r="P678" s="108" t="s">
        <v>193</v>
      </c>
      <c r="Q678" s="259"/>
      <c r="R678" s="259"/>
      <c r="S678" s="259"/>
      <c r="T678" s="184" t="s">
        <v>6058</v>
      </c>
      <c r="U678" s="605" t="s">
        <v>10</v>
      </c>
      <c r="V678" s="132" t="s">
        <v>16</v>
      </c>
      <c r="W678" s="132" t="s">
        <v>16</v>
      </c>
      <c r="X678" s="132" t="s">
        <v>194</v>
      </c>
      <c r="Y678" s="370" t="s">
        <v>6107</v>
      </c>
      <c r="Z678" s="137" t="s">
        <v>6008</v>
      </c>
      <c r="AA678" s="132">
        <v>1</v>
      </c>
      <c r="AB678" s="370" t="s">
        <v>6009</v>
      </c>
      <c r="AC678" s="132">
        <v>61.25</v>
      </c>
      <c r="AD678" s="132">
        <v>59.6</v>
      </c>
      <c r="AE678" s="132">
        <v>60.424999999999997</v>
      </c>
      <c r="AF678" s="132"/>
      <c r="AG678" s="132"/>
      <c r="AH678" s="132"/>
      <c r="AI678" s="180" t="s">
        <v>256</v>
      </c>
      <c r="AJ678" s="132"/>
      <c r="AK678" s="132"/>
      <c r="AL678" s="132"/>
      <c r="AM678" s="132"/>
      <c r="AN678" s="180" t="s">
        <v>6084</v>
      </c>
      <c r="AO678" s="212" t="s">
        <v>6010</v>
      </c>
      <c r="AP678" s="137" t="s">
        <v>5969</v>
      </c>
      <c r="AQ678" s="137" t="s">
        <v>37</v>
      </c>
      <c r="AR678" s="139">
        <v>44314</v>
      </c>
      <c r="AS678" s="137"/>
      <c r="AT678" s="139"/>
      <c r="AU678" s="1110"/>
    </row>
    <row r="679" spans="1:47" s="211" customFormat="1" ht="39" x14ac:dyDescent="0.25">
      <c r="A679" s="339"/>
      <c r="B679" s="116"/>
      <c r="C679" s="95"/>
      <c r="D679" s="567"/>
      <c r="E679" s="567"/>
      <c r="F679" s="95"/>
      <c r="G679" s="146"/>
      <c r="H679" s="108"/>
      <c r="I679" s="122"/>
      <c r="J679" s="191">
        <v>941</v>
      </c>
      <c r="K679" s="359" t="s">
        <v>6004</v>
      </c>
      <c r="L679" s="896">
        <v>1932533.5745999999</v>
      </c>
      <c r="M679" s="896">
        <v>5782698.5804000003</v>
      </c>
      <c r="N679" s="108"/>
      <c r="O679" s="108" t="s">
        <v>6059</v>
      </c>
      <c r="P679" s="108" t="s">
        <v>193</v>
      </c>
      <c r="Q679" s="259"/>
      <c r="R679" s="259"/>
      <c r="S679" s="259"/>
      <c r="T679" s="184" t="s">
        <v>6059</v>
      </c>
      <c r="U679" s="605" t="s">
        <v>10</v>
      </c>
      <c r="V679" s="132" t="s">
        <v>16</v>
      </c>
      <c r="W679" s="132" t="s">
        <v>16</v>
      </c>
      <c r="X679" s="132" t="s">
        <v>194</v>
      </c>
      <c r="Y679" s="370" t="s">
        <v>6108</v>
      </c>
      <c r="Z679" s="137" t="s">
        <v>6111</v>
      </c>
      <c r="AA679" s="132">
        <v>1</v>
      </c>
      <c r="AB679" s="370" t="s">
        <v>6112</v>
      </c>
      <c r="AC679" s="132">
        <v>1.72</v>
      </c>
      <c r="AD679" s="132">
        <v>1.71</v>
      </c>
      <c r="AE679" s="132">
        <v>1.73</v>
      </c>
      <c r="AF679" s="132"/>
      <c r="AG679" s="132"/>
      <c r="AH679" s="132"/>
      <c r="AI679" s="180" t="s">
        <v>256</v>
      </c>
      <c r="AJ679" s="132"/>
      <c r="AK679" s="132"/>
      <c r="AL679" s="132"/>
      <c r="AM679" s="132"/>
      <c r="AN679" s="180" t="s">
        <v>6084</v>
      </c>
      <c r="AO679" s="212" t="s">
        <v>6010</v>
      </c>
      <c r="AP679" s="137" t="s">
        <v>5969</v>
      </c>
      <c r="AQ679" s="137" t="s">
        <v>37</v>
      </c>
      <c r="AR679" s="139">
        <v>44314</v>
      </c>
      <c r="AS679" s="137"/>
      <c r="AT679" s="139"/>
      <c r="AU679" s="1110"/>
    </row>
    <row r="680" spans="1:47" s="211" customFormat="1" ht="39" x14ac:dyDescent="0.25">
      <c r="A680" s="339"/>
      <c r="B680" s="116"/>
      <c r="C680" s="95"/>
      <c r="D680" s="567"/>
      <c r="E680" s="567"/>
      <c r="F680" s="95"/>
      <c r="G680" s="146"/>
      <c r="H680" s="108"/>
      <c r="I680" s="122"/>
      <c r="J680" s="191">
        <v>942</v>
      </c>
      <c r="K680" s="359" t="s">
        <v>6005</v>
      </c>
      <c r="L680" s="896">
        <v>1937034.5969</v>
      </c>
      <c r="M680" s="896">
        <v>5784343.2462999998</v>
      </c>
      <c r="N680" s="108"/>
      <c r="O680" s="108" t="s">
        <v>6060</v>
      </c>
      <c r="P680" s="108" t="s">
        <v>193</v>
      </c>
      <c r="Q680" s="259"/>
      <c r="R680" s="259"/>
      <c r="S680" s="259"/>
      <c r="T680" s="184" t="s">
        <v>6060</v>
      </c>
      <c r="U680" s="605" t="s">
        <v>10</v>
      </c>
      <c r="V680" s="132" t="s">
        <v>16</v>
      </c>
      <c r="W680" s="132" t="s">
        <v>16</v>
      </c>
      <c r="X680" s="132" t="s">
        <v>194</v>
      </c>
      <c r="Y680" s="370" t="s">
        <v>6109</v>
      </c>
      <c r="Z680" s="137" t="s">
        <v>6111</v>
      </c>
      <c r="AA680" s="132">
        <v>1</v>
      </c>
      <c r="AB680" s="370" t="s">
        <v>6112</v>
      </c>
      <c r="AC680" s="132">
        <v>1.72</v>
      </c>
      <c r="AD680" s="132">
        <v>1.71</v>
      </c>
      <c r="AE680" s="132">
        <v>1.73</v>
      </c>
      <c r="AF680" s="132"/>
      <c r="AG680" s="132"/>
      <c r="AH680" s="132"/>
      <c r="AI680" s="180" t="s">
        <v>256</v>
      </c>
      <c r="AJ680" s="132"/>
      <c r="AK680" s="132"/>
      <c r="AL680" s="132"/>
      <c r="AM680" s="132"/>
      <c r="AN680" s="180" t="s">
        <v>6084</v>
      </c>
      <c r="AO680" s="212" t="s">
        <v>6010</v>
      </c>
      <c r="AP680" s="137" t="s">
        <v>5969</v>
      </c>
      <c r="AQ680" s="137" t="s">
        <v>37</v>
      </c>
      <c r="AR680" s="139">
        <v>44314</v>
      </c>
      <c r="AS680" s="137"/>
      <c r="AT680" s="139"/>
      <c r="AU680" s="1110"/>
    </row>
    <row r="681" spans="1:47" s="211" customFormat="1" ht="39.75" thickBot="1" x14ac:dyDescent="0.3">
      <c r="A681" s="336"/>
      <c r="B681" s="196"/>
      <c r="C681" s="96"/>
      <c r="D681" s="566"/>
      <c r="E681" s="566"/>
      <c r="F681" s="96"/>
      <c r="G681" s="147"/>
      <c r="H681" s="107"/>
      <c r="I681" s="123"/>
      <c r="J681" s="190">
        <v>943</v>
      </c>
      <c r="K681" s="357" t="s">
        <v>6006</v>
      </c>
      <c r="L681" s="898">
        <v>1935524.4040999999</v>
      </c>
      <c r="M681" s="898">
        <v>5783795.3629999999</v>
      </c>
      <c r="N681" s="107"/>
      <c r="O681" s="107" t="s">
        <v>5957</v>
      </c>
      <c r="P681" s="107" t="s">
        <v>193</v>
      </c>
      <c r="Q681" s="262"/>
      <c r="R681" s="262"/>
      <c r="S681" s="262"/>
      <c r="T681" s="127" t="s">
        <v>5957</v>
      </c>
      <c r="U681" s="240" t="s">
        <v>10</v>
      </c>
      <c r="V681" s="156" t="s">
        <v>16</v>
      </c>
      <c r="W681" s="156" t="s">
        <v>16</v>
      </c>
      <c r="X681" s="156" t="s">
        <v>194</v>
      </c>
      <c r="Y681" s="606" t="s">
        <v>6110</v>
      </c>
      <c r="Z681" s="155" t="s">
        <v>6111</v>
      </c>
      <c r="AA681" s="156">
        <v>1</v>
      </c>
      <c r="AB681" s="606" t="s">
        <v>6112</v>
      </c>
      <c r="AC681" s="156">
        <v>1.72</v>
      </c>
      <c r="AD681" s="156">
        <v>1.71</v>
      </c>
      <c r="AE681" s="156">
        <v>1.73</v>
      </c>
      <c r="AF681" s="156"/>
      <c r="AG681" s="156"/>
      <c r="AH681" s="156"/>
      <c r="AI681" s="183" t="s">
        <v>256</v>
      </c>
      <c r="AJ681" s="156"/>
      <c r="AK681" s="156"/>
      <c r="AL681" s="156"/>
      <c r="AM681" s="156"/>
      <c r="AN681" s="183" t="s">
        <v>6084</v>
      </c>
      <c r="AO681" s="241" t="s">
        <v>6010</v>
      </c>
      <c r="AP681" s="155" t="s">
        <v>5969</v>
      </c>
      <c r="AQ681" s="155" t="s">
        <v>37</v>
      </c>
      <c r="AR681" s="172">
        <v>44314</v>
      </c>
      <c r="AS681" s="155"/>
      <c r="AT681" s="172"/>
      <c r="AU681" s="1111"/>
    </row>
    <row r="682" spans="1:47" ht="77.25" x14ac:dyDescent="0.25">
      <c r="A682" s="487" t="s">
        <v>3630</v>
      </c>
      <c r="B682" s="128" t="s">
        <v>3630</v>
      </c>
      <c r="C682" s="72">
        <v>633</v>
      </c>
      <c r="D682" s="586" t="s">
        <v>52</v>
      </c>
      <c r="E682" s="586"/>
      <c r="F682" s="72" t="s">
        <v>2104</v>
      </c>
      <c r="G682" s="72" t="s">
        <v>1263</v>
      </c>
      <c r="H682" s="129" t="s">
        <v>3629</v>
      </c>
      <c r="I682" s="381" t="s">
        <v>6275</v>
      </c>
      <c r="J682" s="64">
        <v>1304</v>
      </c>
      <c r="K682" s="65" t="s">
        <v>3628</v>
      </c>
      <c r="L682" s="940">
        <v>1605454.4955</v>
      </c>
      <c r="M682" s="940">
        <v>5280965.4140999997</v>
      </c>
      <c r="N682" s="251"/>
      <c r="O682" s="251" t="s">
        <v>6165</v>
      </c>
      <c r="P682" s="251" t="s">
        <v>61</v>
      </c>
      <c r="Q682" s="251"/>
      <c r="R682" s="251"/>
      <c r="S682" s="251"/>
      <c r="T682" s="303" t="s">
        <v>3627</v>
      </c>
      <c r="U682" s="31"/>
      <c r="V682" s="31"/>
      <c r="W682" s="31"/>
      <c r="X682" s="97" t="s">
        <v>61</v>
      </c>
      <c r="Y682" s="340" t="s">
        <v>3626</v>
      </c>
      <c r="Z682" s="40" t="s">
        <v>3584</v>
      </c>
      <c r="AA682" s="31"/>
      <c r="AB682" s="31" t="s">
        <v>3621</v>
      </c>
      <c r="AC682" s="31">
        <v>30</v>
      </c>
      <c r="AD682" s="31">
        <v>26</v>
      </c>
      <c r="AE682" s="31">
        <v>34</v>
      </c>
      <c r="AF682" s="31"/>
      <c r="AG682" s="372"/>
      <c r="AH682" s="372"/>
      <c r="AI682" s="30"/>
      <c r="AJ682" s="31"/>
      <c r="AK682" s="31"/>
      <c r="AL682" s="372"/>
      <c r="AM682" s="372"/>
      <c r="AN682" s="40" t="s">
        <v>5070</v>
      </c>
      <c r="AO682" s="40"/>
      <c r="AP682" s="40" t="s">
        <v>3615</v>
      </c>
      <c r="AQ682" s="40" t="s">
        <v>1380</v>
      </c>
      <c r="AR682" s="41">
        <v>44147</v>
      </c>
      <c r="AS682" s="40" t="s">
        <v>1380</v>
      </c>
      <c r="AT682" s="41">
        <v>44147</v>
      </c>
      <c r="AU682" s="652" t="s">
        <v>37</v>
      </c>
    </row>
    <row r="683" spans="1:47" ht="64.5" x14ac:dyDescent="0.25">
      <c r="A683" s="488"/>
      <c r="B683" s="486"/>
      <c r="C683" s="407"/>
      <c r="D683" s="572"/>
      <c r="E683" s="572"/>
      <c r="F683" s="407"/>
      <c r="G683" s="407"/>
      <c r="H683" s="541"/>
      <c r="I683" s="121"/>
      <c r="J683" s="408">
        <v>1305</v>
      </c>
      <c r="K683" s="468" t="s">
        <v>3625</v>
      </c>
      <c r="L683" s="939">
        <v>1605891.7234</v>
      </c>
      <c r="M683" s="939">
        <v>5282813.8267999999</v>
      </c>
      <c r="N683" s="306"/>
      <c r="O683" s="306" t="s">
        <v>3624</v>
      </c>
      <c r="P683" s="306" t="s">
        <v>61</v>
      </c>
      <c r="Q683" s="306"/>
      <c r="R683" s="306"/>
      <c r="S683" s="306"/>
      <c r="T683" s="305" t="s">
        <v>3623</v>
      </c>
      <c r="X683" s="185" t="s">
        <v>61</v>
      </c>
      <c r="Y683" s="337" t="s">
        <v>3622</v>
      </c>
      <c r="Z683" s="3" t="s">
        <v>3584</v>
      </c>
      <c r="AB683" s="2" t="s">
        <v>3621</v>
      </c>
      <c r="AC683" s="2">
        <v>30</v>
      </c>
      <c r="AD683" s="2">
        <v>26</v>
      </c>
      <c r="AE683" s="2">
        <v>34</v>
      </c>
      <c r="AJ683" s="2"/>
      <c r="AK683" s="2"/>
      <c r="AN683" s="3" t="s">
        <v>5071</v>
      </c>
      <c r="AP683" s="3" t="s">
        <v>3615</v>
      </c>
      <c r="AQ683" s="3" t="s">
        <v>1380</v>
      </c>
      <c r="AR683" s="186">
        <v>44147</v>
      </c>
      <c r="AS683" s="3" t="s">
        <v>1380</v>
      </c>
      <c r="AT683" s="186">
        <v>44147</v>
      </c>
      <c r="AU683" s="1107" t="s">
        <v>37</v>
      </c>
    </row>
    <row r="684" spans="1:47" ht="27" thickBot="1" x14ac:dyDescent="0.3">
      <c r="A684" s="488"/>
      <c r="B684" s="486"/>
      <c r="C684" s="407"/>
      <c r="D684" s="572"/>
      <c r="E684" s="572"/>
      <c r="F684" s="407"/>
      <c r="G684" s="407"/>
      <c r="H684" s="541"/>
      <c r="I684" s="121"/>
      <c r="J684" s="792" t="s">
        <v>2156</v>
      </c>
      <c r="K684" s="468" t="s">
        <v>6792</v>
      </c>
      <c r="L684" s="939" t="s">
        <v>2156</v>
      </c>
      <c r="M684" s="939"/>
      <c r="N684" s="306" t="s">
        <v>2156</v>
      </c>
      <c r="O684" s="306"/>
      <c r="P684" s="306" t="s">
        <v>61</v>
      </c>
      <c r="Q684" s="306"/>
      <c r="R684" s="306"/>
      <c r="S684" s="306"/>
      <c r="T684" s="305"/>
      <c r="X684" s="185"/>
      <c r="Y684" s="337"/>
      <c r="AJ684" s="2"/>
      <c r="AK684" s="2"/>
      <c r="AN684" s="3" t="s">
        <v>5072</v>
      </c>
      <c r="AP684" s="3" t="s">
        <v>3615</v>
      </c>
      <c r="AQ684" s="3" t="s">
        <v>1380</v>
      </c>
      <c r="AR684" s="186">
        <v>44147</v>
      </c>
      <c r="AS684" s="3" t="s">
        <v>1380</v>
      </c>
      <c r="AT684" s="186"/>
      <c r="AU684" s="1107"/>
    </row>
    <row r="685" spans="1:47" ht="65.25" thickBot="1" x14ac:dyDescent="0.3">
      <c r="A685" s="489"/>
      <c r="B685" s="133"/>
      <c r="C685" s="78"/>
      <c r="D685" s="569"/>
      <c r="E685" s="569"/>
      <c r="F685" s="78"/>
      <c r="G685" s="78"/>
      <c r="H685" s="119"/>
      <c r="I685" s="429"/>
      <c r="J685" s="482">
        <v>1306</v>
      </c>
      <c r="K685" s="380" t="s">
        <v>3620</v>
      </c>
      <c r="L685" s="327">
        <v>1594427.5965</v>
      </c>
      <c r="M685" s="327">
        <v>5280420.6374000004</v>
      </c>
      <c r="N685" s="301"/>
      <c r="O685" s="301" t="s">
        <v>446</v>
      </c>
      <c r="P685" s="301" t="s">
        <v>61</v>
      </c>
      <c r="Q685" s="301"/>
      <c r="R685" s="301"/>
      <c r="S685" s="301"/>
      <c r="T685" s="300" t="s">
        <v>3619</v>
      </c>
      <c r="U685" s="86"/>
      <c r="V685" s="86"/>
      <c r="W685" s="86"/>
      <c r="X685" s="197" t="s">
        <v>61</v>
      </c>
      <c r="Y685" s="329" t="s">
        <v>3618</v>
      </c>
      <c r="Z685" s="92" t="s">
        <v>3617</v>
      </c>
      <c r="AA685" s="86"/>
      <c r="AB685" s="86" t="s">
        <v>3616</v>
      </c>
      <c r="AC685" s="86">
        <v>10</v>
      </c>
      <c r="AD685" s="86">
        <v>8</v>
      </c>
      <c r="AE685" s="86">
        <v>12</v>
      </c>
      <c r="AF685" s="86"/>
      <c r="AG685" s="387"/>
      <c r="AH685" s="387"/>
      <c r="AI685" s="94"/>
      <c r="AJ685" s="86"/>
      <c r="AK685" s="86"/>
      <c r="AL685" s="387"/>
      <c r="AM685" s="387"/>
      <c r="AN685" s="92" t="s">
        <v>5073</v>
      </c>
      <c r="AO685" s="92"/>
      <c r="AP685" s="92" t="s">
        <v>3615</v>
      </c>
      <c r="AQ685" s="92" t="s">
        <v>1380</v>
      </c>
      <c r="AR685" s="93">
        <v>44147</v>
      </c>
      <c r="AS685" s="92" t="s">
        <v>1380</v>
      </c>
      <c r="AT685" s="93">
        <v>44147</v>
      </c>
      <c r="AU685" s="1108" t="s">
        <v>37</v>
      </c>
    </row>
    <row r="686" spans="1:47" s="211" customFormat="1" ht="39.75" thickBot="1" x14ac:dyDescent="0.3">
      <c r="A686" s="334" t="s">
        <v>5885</v>
      </c>
      <c r="B686" s="333" t="s">
        <v>5885</v>
      </c>
      <c r="C686" s="84">
        <v>198</v>
      </c>
      <c r="D686" s="591" t="s">
        <v>57</v>
      </c>
      <c r="E686" s="591"/>
      <c r="F686" s="84" t="s">
        <v>4679</v>
      </c>
      <c r="G686" s="149" t="s">
        <v>1238</v>
      </c>
      <c r="H686" s="109" t="s">
        <v>5886</v>
      </c>
      <c r="I686" s="124" t="s">
        <v>5887</v>
      </c>
      <c r="J686" s="89">
        <v>893</v>
      </c>
      <c r="K686" s="396" t="s">
        <v>6282</v>
      </c>
      <c r="L686" s="265">
        <v>1913821.7623000001</v>
      </c>
      <c r="M686" s="265">
        <v>5771341.7983999997</v>
      </c>
      <c r="N686" s="109"/>
      <c r="O686" s="109" t="s">
        <v>5886</v>
      </c>
      <c r="P686" s="109" t="s">
        <v>193</v>
      </c>
      <c r="Q686" s="109"/>
      <c r="R686" s="109"/>
      <c r="S686" s="109"/>
      <c r="T686" s="343" t="s">
        <v>5886</v>
      </c>
      <c r="U686" s="169" t="s">
        <v>10</v>
      </c>
      <c r="V686" s="151" t="s">
        <v>16</v>
      </c>
      <c r="W686" s="151" t="s">
        <v>16</v>
      </c>
      <c r="X686" s="153" t="s">
        <v>194</v>
      </c>
      <c r="Y686" s="153" t="s">
        <v>6167</v>
      </c>
      <c r="Z686" s="152" t="s">
        <v>6168</v>
      </c>
      <c r="AA686" s="153">
        <v>1</v>
      </c>
      <c r="AB686" s="153" t="s">
        <v>6166</v>
      </c>
      <c r="AC686" s="151">
        <v>13.6</v>
      </c>
      <c r="AD686" s="151">
        <v>13.4</v>
      </c>
      <c r="AE686" s="151">
        <v>13.8</v>
      </c>
      <c r="AF686" s="151"/>
      <c r="AG686" s="151"/>
      <c r="AH686" s="151"/>
      <c r="AI686" s="203" t="s">
        <v>256</v>
      </c>
      <c r="AJ686" s="202"/>
      <c r="AK686" s="202"/>
      <c r="AL686" s="442"/>
      <c r="AM686" s="442"/>
      <c r="AN686" s="203" t="s">
        <v>6084</v>
      </c>
      <c r="AO686" s="203" t="s">
        <v>6285</v>
      </c>
      <c r="AP686" s="152" t="s">
        <v>6121</v>
      </c>
      <c r="AQ686" s="152" t="s">
        <v>37</v>
      </c>
      <c r="AR686" s="170">
        <v>44316</v>
      </c>
      <c r="AS686" s="152" t="s">
        <v>37</v>
      </c>
      <c r="AT686" s="361"/>
      <c r="AU686" s="1112"/>
    </row>
    <row r="687" spans="1:47" s="211" customFormat="1" ht="39" x14ac:dyDescent="0.25">
      <c r="A687" s="1045" t="s">
        <v>824</v>
      </c>
      <c r="B687" s="700" t="s">
        <v>839</v>
      </c>
      <c r="C687" s="217">
        <v>804</v>
      </c>
      <c r="D687" s="596" t="s">
        <v>52</v>
      </c>
      <c r="E687" s="596" t="s">
        <v>53</v>
      </c>
      <c r="F687" s="217" t="s">
        <v>840</v>
      </c>
      <c r="G687" s="525" t="s">
        <v>1973</v>
      </c>
      <c r="H687" s="219" t="s">
        <v>5602</v>
      </c>
      <c r="I687" s="645" t="s">
        <v>5603</v>
      </c>
      <c r="J687" s="218">
        <v>143</v>
      </c>
      <c r="K687" s="469" t="s">
        <v>825</v>
      </c>
      <c r="L687" s="961">
        <v>1367653.6410999999</v>
      </c>
      <c r="M687" s="961">
        <v>4888612.2975000003</v>
      </c>
      <c r="N687" s="219"/>
      <c r="O687" s="219" t="s">
        <v>857</v>
      </c>
      <c r="P687" s="219" t="s">
        <v>193</v>
      </c>
      <c r="Q687" s="219"/>
      <c r="R687" s="219"/>
      <c r="S687" s="219"/>
      <c r="T687" s="556" t="s">
        <v>1211</v>
      </c>
      <c r="U687" s="169" t="s">
        <v>10</v>
      </c>
      <c r="V687" s="151" t="s">
        <v>10</v>
      </c>
      <c r="W687" s="151" t="s">
        <v>10</v>
      </c>
      <c r="X687" s="153" t="s">
        <v>193</v>
      </c>
      <c r="Y687" s="151" t="s">
        <v>860</v>
      </c>
      <c r="Z687" s="152" t="s">
        <v>831</v>
      </c>
      <c r="AA687" s="153">
        <v>1</v>
      </c>
      <c r="AB687" s="153" t="s">
        <v>832</v>
      </c>
      <c r="AC687" s="151">
        <v>36.5</v>
      </c>
      <c r="AD687" s="151">
        <v>35.1</v>
      </c>
      <c r="AE687" s="151">
        <v>37.9</v>
      </c>
      <c r="AF687" s="151"/>
      <c r="AG687" s="151"/>
      <c r="AH687" s="151"/>
      <c r="AI687" s="203" t="s">
        <v>23</v>
      </c>
      <c r="AJ687" s="202"/>
      <c r="AK687" s="202" t="s">
        <v>834</v>
      </c>
      <c r="AL687" s="442"/>
      <c r="AM687" s="442"/>
      <c r="AN687" s="203" t="s">
        <v>843</v>
      </c>
      <c r="AO687" s="203" t="s">
        <v>836</v>
      </c>
      <c r="AP687" s="152" t="s">
        <v>4234</v>
      </c>
      <c r="AQ687" s="152" t="s">
        <v>37</v>
      </c>
      <c r="AR687" s="170">
        <v>44070</v>
      </c>
      <c r="AS687" s="152" t="s">
        <v>37</v>
      </c>
      <c r="AT687" s="361"/>
      <c r="AU687" s="1112"/>
    </row>
    <row r="688" spans="1:47" s="211" customFormat="1" ht="51.75" x14ac:dyDescent="0.25">
      <c r="A688" s="1046"/>
      <c r="B688" s="702"/>
      <c r="C688" s="213"/>
      <c r="D688" s="578"/>
      <c r="E688" s="578"/>
      <c r="F688" s="213"/>
      <c r="G688" s="214"/>
      <c r="H688" s="216"/>
      <c r="I688" s="1053"/>
      <c r="J688" s="215">
        <v>144</v>
      </c>
      <c r="K688" s="470" t="s">
        <v>826</v>
      </c>
      <c r="L688" s="962">
        <v>1370311.1891000001</v>
      </c>
      <c r="M688" s="962">
        <v>4895319.3145000003</v>
      </c>
      <c r="N688" s="216"/>
      <c r="O688" s="216" t="s">
        <v>828</v>
      </c>
      <c r="P688" s="216" t="s">
        <v>193</v>
      </c>
      <c r="Q688" s="216"/>
      <c r="R688" s="216"/>
      <c r="S688" s="216"/>
      <c r="T688" s="224" t="s">
        <v>858</v>
      </c>
      <c r="U688" s="138" t="s">
        <v>10</v>
      </c>
      <c r="V688" s="136" t="s">
        <v>10</v>
      </c>
      <c r="W688" s="136" t="s">
        <v>16</v>
      </c>
      <c r="X688" s="132" t="s">
        <v>193</v>
      </c>
      <c r="Y688" s="136" t="s">
        <v>829</v>
      </c>
      <c r="Z688" s="137" t="s">
        <v>831</v>
      </c>
      <c r="AA688" s="132">
        <v>1</v>
      </c>
      <c r="AB688" s="132" t="s">
        <v>833</v>
      </c>
      <c r="AC688" s="136">
        <v>29.4</v>
      </c>
      <c r="AD688" s="136">
        <v>28</v>
      </c>
      <c r="AE688" s="136">
        <v>30.8</v>
      </c>
      <c r="AF688" s="136"/>
      <c r="AG688" s="136"/>
      <c r="AH688" s="136"/>
      <c r="AI688" s="180" t="s">
        <v>23</v>
      </c>
      <c r="AJ688" s="173"/>
      <c r="AK688" s="226" t="s">
        <v>835</v>
      </c>
      <c r="AL688" s="350"/>
      <c r="AM688" s="350"/>
      <c r="AN688" s="180" t="s">
        <v>844</v>
      </c>
      <c r="AO688" s="180" t="s">
        <v>838</v>
      </c>
      <c r="AP688" s="137" t="s">
        <v>4234</v>
      </c>
      <c r="AQ688" s="137" t="s">
        <v>37</v>
      </c>
      <c r="AR688" s="139">
        <v>44070</v>
      </c>
      <c r="AS688" s="137" t="s">
        <v>37</v>
      </c>
      <c r="AT688" s="358"/>
      <c r="AU688" s="1110"/>
    </row>
    <row r="689" spans="1:47" s="211" customFormat="1" ht="39.75" thickBot="1" x14ac:dyDescent="0.3">
      <c r="A689" s="1048"/>
      <c r="B689" s="1049"/>
      <c r="C689" s="220"/>
      <c r="D689" s="579"/>
      <c r="E689" s="579"/>
      <c r="F689" s="220"/>
      <c r="G689" s="221"/>
      <c r="H689" s="223"/>
      <c r="I689" s="1054"/>
      <c r="J689" s="222">
        <v>145</v>
      </c>
      <c r="K689" s="471" t="s">
        <v>827</v>
      </c>
      <c r="L689" s="963">
        <v>1370389.7705000001</v>
      </c>
      <c r="M689" s="963">
        <v>4895387.1802000003</v>
      </c>
      <c r="N689" s="223"/>
      <c r="O689" s="223" t="s">
        <v>859</v>
      </c>
      <c r="P689" s="223" t="s">
        <v>193</v>
      </c>
      <c r="Q689" s="223"/>
      <c r="R689" s="223"/>
      <c r="S689" s="223"/>
      <c r="T689" s="225" t="s">
        <v>859</v>
      </c>
      <c r="U689" s="171" t="s">
        <v>10</v>
      </c>
      <c r="V689" s="154" t="s">
        <v>16</v>
      </c>
      <c r="W689" s="154" t="s">
        <v>16</v>
      </c>
      <c r="X689" s="156" t="s">
        <v>193</v>
      </c>
      <c r="Y689" s="154" t="s">
        <v>830</v>
      </c>
      <c r="Z689" s="155" t="s">
        <v>831</v>
      </c>
      <c r="AA689" s="156">
        <v>1</v>
      </c>
      <c r="AB689" s="156" t="s">
        <v>861</v>
      </c>
      <c r="AC689" s="154"/>
      <c r="AD689" s="154">
        <v>67.099999999999994</v>
      </c>
      <c r="AE689" s="154"/>
      <c r="AF689" s="154"/>
      <c r="AG689" s="154"/>
      <c r="AH689" s="154"/>
      <c r="AI689" s="183" t="s">
        <v>23</v>
      </c>
      <c r="AJ689" s="201"/>
      <c r="AK689" s="227" t="s">
        <v>835</v>
      </c>
      <c r="AL689" s="443"/>
      <c r="AM689" s="443"/>
      <c r="AN689" s="183" t="s">
        <v>845</v>
      </c>
      <c r="AO689" s="183" t="s">
        <v>837</v>
      </c>
      <c r="AP689" s="155" t="s">
        <v>4234</v>
      </c>
      <c r="AQ689" s="155" t="s">
        <v>37</v>
      </c>
      <c r="AR689" s="172">
        <v>44070</v>
      </c>
      <c r="AS689" s="155" t="s">
        <v>37</v>
      </c>
      <c r="AT689" s="362"/>
      <c r="AU689" s="1111"/>
    </row>
    <row r="690" spans="1:47" s="402" customFormat="1" ht="39" x14ac:dyDescent="0.25">
      <c r="A690" s="807" t="s">
        <v>3476</v>
      </c>
      <c r="B690" s="349" t="s">
        <v>3476</v>
      </c>
      <c r="C690" s="157">
        <v>493</v>
      </c>
      <c r="D690" s="592" t="s">
        <v>52</v>
      </c>
      <c r="E690" s="592" t="s">
        <v>53</v>
      </c>
      <c r="F690" s="157" t="s">
        <v>668</v>
      </c>
      <c r="G690" s="157" t="s">
        <v>1973</v>
      </c>
      <c r="H690" s="159" t="s">
        <v>2277</v>
      </c>
      <c r="I690" s="450" t="s">
        <v>5639</v>
      </c>
      <c r="J690" s="193">
        <v>2102</v>
      </c>
      <c r="K690" s="433" t="s">
        <v>3478</v>
      </c>
      <c r="L690" s="924">
        <v>1812429.5697999999</v>
      </c>
      <c r="M690" s="924">
        <v>5515977.0404000003</v>
      </c>
      <c r="N690" s="159">
        <v>21</v>
      </c>
      <c r="O690" s="473" t="s">
        <v>3479</v>
      </c>
      <c r="P690" s="157" t="s">
        <v>194</v>
      </c>
      <c r="Q690" s="349"/>
      <c r="R690" s="349"/>
      <c r="S690" s="349"/>
      <c r="T690" s="480" t="s">
        <v>3477</v>
      </c>
      <c r="U690" s="101" t="s">
        <v>10</v>
      </c>
      <c r="V690" s="31" t="s">
        <v>16</v>
      </c>
      <c r="W690" s="31" t="s">
        <v>16</v>
      </c>
      <c r="X690" s="97" t="s">
        <v>194</v>
      </c>
      <c r="Y690" s="130" t="s">
        <v>1463</v>
      </c>
      <c r="Z690" s="40" t="s">
        <v>3461</v>
      </c>
      <c r="AA690" s="97">
        <v>3</v>
      </c>
      <c r="AB690" s="130" t="s">
        <v>3465</v>
      </c>
      <c r="AC690" s="31">
        <v>24</v>
      </c>
      <c r="AD690" s="31"/>
      <c r="AE690" s="31"/>
      <c r="AF690" s="31">
        <v>12</v>
      </c>
      <c r="AG690" s="372"/>
      <c r="AH690" s="372"/>
      <c r="AI690" s="30" t="s">
        <v>256</v>
      </c>
      <c r="AJ690" s="130" t="s">
        <v>13</v>
      </c>
      <c r="AK690" s="31"/>
      <c r="AL690" s="372"/>
      <c r="AM690" s="372"/>
      <c r="AN690" s="40" t="s">
        <v>6946</v>
      </c>
      <c r="AO690" s="30" t="s">
        <v>3464</v>
      </c>
      <c r="AP690" s="40" t="s">
        <v>6924</v>
      </c>
      <c r="AQ690" s="40" t="s">
        <v>3457</v>
      </c>
      <c r="AR690" s="41">
        <v>44131</v>
      </c>
      <c r="AS690" s="40" t="s">
        <v>3457</v>
      </c>
      <c r="AT690" s="41">
        <v>44270</v>
      </c>
      <c r="AU690" s="652" t="s">
        <v>37</v>
      </c>
    </row>
    <row r="691" spans="1:47" s="402" customFormat="1" ht="39" x14ac:dyDescent="0.25">
      <c r="A691" s="808"/>
      <c r="B691" s="550"/>
      <c r="C691" s="161"/>
      <c r="D691" s="573"/>
      <c r="E691" s="573"/>
      <c r="F691" s="161"/>
      <c r="G691" s="161"/>
      <c r="H691" s="163"/>
      <c r="I691" s="423"/>
      <c r="J691" s="194">
        <v>2103</v>
      </c>
      <c r="K691" s="434" t="s">
        <v>3476</v>
      </c>
      <c r="L691" s="919">
        <v>1812705.3639</v>
      </c>
      <c r="M691" s="919">
        <v>5516614.4709000001</v>
      </c>
      <c r="N691" s="163">
        <v>13</v>
      </c>
      <c r="O691" s="557" t="s">
        <v>3480</v>
      </c>
      <c r="P691" s="163" t="s">
        <v>194</v>
      </c>
      <c r="Q691" s="163"/>
      <c r="R691" s="163"/>
      <c r="S691" s="163"/>
      <c r="T691" s="175" t="s">
        <v>3475</v>
      </c>
      <c r="U691" s="102" t="s">
        <v>10</v>
      </c>
      <c r="V691" s="24" t="s">
        <v>16</v>
      </c>
      <c r="W691" s="24" t="s">
        <v>16</v>
      </c>
      <c r="X691" s="117" t="s">
        <v>194</v>
      </c>
      <c r="Y691" s="179" t="s">
        <v>1317</v>
      </c>
      <c r="Z691" s="46" t="s">
        <v>3461</v>
      </c>
      <c r="AA691" s="117">
        <v>1</v>
      </c>
      <c r="AB691" s="148" t="s">
        <v>3538</v>
      </c>
      <c r="AC691" s="2">
        <v>59</v>
      </c>
      <c r="AD691" s="2"/>
      <c r="AE691" s="2"/>
      <c r="AF691" s="2">
        <v>12</v>
      </c>
      <c r="AG691" s="351"/>
      <c r="AH691" s="351"/>
      <c r="AI691" s="45" t="s">
        <v>256</v>
      </c>
      <c r="AJ691" s="148" t="s">
        <v>13</v>
      </c>
      <c r="AK691" s="24"/>
      <c r="AL691" s="351"/>
      <c r="AM691" s="351"/>
      <c r="AN691" s="46" t="s">
        <v>6947</v>
      </c>
      <c r="AO691" s="46" t="s">
        <v>3458</v>
      </c>
      <c r="AP691" s="46" t="s">
        <v>6924</v>
      </c>
      <c r="AQ691" s="46" t="s">
        <v>3457</v>
      </c>
      <c r="AR691" s="47">
        <v>44320</v>
      </c>
      <c r="AS691" s="46" t="s">
        <v>3457</v>
      </c>
      <c r="AT691" s="47">
        <v>44321</v>
      </c>
      <c r="AU691" s="1107" t="s">
        <v>37</v>
      </c>
    </row>
    <row r="692" spans="1:47" s="402" customFormat="1" ht="39.75" thickBot="1" x14ac:dyDescent="0.3">
      <c r="A692" s="809"/>
      <c r="B692" s="174"/>
      <c r="C692" s="165"/>
      <c r="D692" s="574"/>
      <c r="E692" s="574"/>
      <c r="F692" s="165"/>
      <c r="G692" s="165"/>
      <c r="H692" s="167"/>
      <c r="I692" s="424"/>
      <c r="J692" s="194">
        <v>2104</v>
      </c>
      <c r="K692" s="434" t="s">
        <v>3474</v>
      </c>
      <c r="L692" s="964">
        <v>1813162.2111</v>
      </c>
      <c r="M692" s="964">
        <v>5517702.2626</v>
      </c>
      <c r="N692" s="163">
        <v>30</v>
      </c>
      <c r="O692" s="163" t="s">
        <v>3481</v>
      </c>
      <c r="P692" s="163" t="s">
        <v>194</v>
      </c>
      <c r="Q692" s="611"/>
      <c r="R692" s="611"/>
      <c r="S692" s="611"/>
      <c r="T692" s="612" t="s">
        <v>3473</v>
      </c>
      <c r="U692" s="273" t="s">
        <v>10</v>
      </c>
      <c r="V692" s="120" t="s">
        <v>16</v>
      </c>
      <c r="W692" s="120" t="s">
        <v>16</v>
      </c>
      <c r="X692" s="120" t="s">
        <v>194</v>
      </c>
      <c r="Y692" s="317" t="s">
        <v>3482</v>
      </c>
      <c r="Z692" s="52" t="s">
        <v>3461</v>
      </c>
      <c r="AA692" s="120"/>
      <c r="AB692" s="606" t="s">
        <v>6344</v>
      </c>
      <c r="AC692" s="156">
        <v>71</v>
      </c>
      <c r="AD692" s="156"/>
      <c r="AE692" s="156"/>
      <c r="AF692" s="156">
        <v>59</v>
      </c>
      <c r="AG692" s="156"/>
      <c r="AH692" s="156"/>
      <c r="AI692" s="51" t="s">
        <v>256</v>
      </c>
      <c r="AJ692" s="120" t="s">
        <v>13</v>
      </c>
      <c r="AK692" s="120"/>
      <c r="AL692" s="120"/>
      <c r="AM692" s="120"/>
      <c r="AN692" s="52" t="s">
        <v>6948</v>
      </c>
      <c r="AO692" s="52" t="s">
        <v>3472</v>
      </c>
      <c r="AP692" s="52" t="s">
        <v>6924</v>
      </c>
      <c r="AQ692" s="52" t="s">
        <v>3457</v>
      </c>
      <c r="AR692" s="53">
        <v>44320</v>
      </c>
      <c r="AS692" s="52" t="s">
        <v>3457</v>
      </c>
      <c r="AT692" s="270">
        <v>44321</v>
      </c>
      <c r="AU692" s="269" t="s">
        <v>37</v>
      </c>
    </row>
    <row r="693" spans="1:47" s="211" customFormat="1" ht="52.5" thickBot="1" x14ac:dyDescent="0.3">
      <c r="A693" s="1038" t="s">
        <v>5956</v>
      </c>
      <c r="B693" s="571" t="s">
        <v>5956</v>
      </c>
      <c r="C693" s="67">
        <v>239</v>
      </c>
      <c r="D693" s="568" t="s">
        <v>57</v>
      </c>
      <c r="E693" s="568"/>
      <c r="F693" s="75" t="s">
        <v>4679</v>
      </c>
      <c r="G693" s="143" t="s">
        <v>1238</v>
      </c>
      <c r="H693" s="118" t="s">
        <v>5957</v>
      </c>
      <c r="I693" s="121" t="s">
        <v>6276</v>
      </c>
      <c r="J693" s="187">
        <v>896</v>
      </c>
      <c r="K693" s="65" t="s">
        <v>6175</v>
      </c>
      <c r="L693" s="914">
        <v>1814157.3883</v>
      </c>
      <c r="M693" s="914">
        <v>5678017.6561000003</v>
      </c>
      <c r="N693" s="129"/>
      <c r="O693" s="129">
        <v>0.31</v>
      </c>
      <c r="P693" s="129" t="s">
        <v>194</v>
      </c>
      <c r="Q693" s="129"/>
      <c r="R693" s="129"/>
      <c r="S693" s="129" t="s">
        <v>6177</v>
      </c>
      <c r="T693" s="266" t="s">
        <v>6179</v>
      </c>
      <c r="U693" s="169" t="s">
        <v>10</v>
      </c>
      <c r="V693" s="151" t="s">
        <v>16</v>
      </c>
      <c r="W693" s="151" t="s">
        <v>16</v>
      </c>
      <c r="X693" s="153" t="s">
        <v>194</v>
      </c>
      <c r="Y693" s="153" t="s">
        <v>6182</v>
      </c>
      <c r="Z693" s="152" t="s">
        <v>6181</v>
      </c>
      <c r="AA693" s="153">
        <v>1</v>
      </c>
      <c r="AB693" s="153" t="s">
        <v>6183</v>
      </c>
      <c r="AC693" s="151">
        <v>347</v>
      </c>
      <c r="AD693" s="151">
        <v>353</v>
      </c>
      <c r="AE693" s="151">
        <v>351</v>
      </c>
      <c r="AF693" s="151"/>
      <c r="AG693" s="151"/>
      <c r="AH693" s="151"/>
      <c r="AI693" s="203" t="s">
        <v>256</v>
      </c>
      <c r="AJ693" s="202"/>
      <c r="AK693" s="202"/>
      <c r="AL693" s="442"/>
      <c r="AM693" s="442"/>
      <c r="AN693" s="203" t="s">
        <v>6084</v>
      </c>
      <c r="AO693" s="203" t="s">
        <v>6294</v>
      </c>
      <c r="AP693" s="152" t="s">
        <v>6121</v>
      </c>
      <c r="AQ693" s="152" t="s">
        <v>37</v>
      </c>
      <c r="AR693" s="170">
        <v>44316</v>
      </c>
      <c r="AS693" s="152" t="s">
        <v>37</v>
      </c>
      <c r="AT693" s="361"/>
      <c r="AU693" s="1112"/>
    </row>
    <row r="694" spans="1:47" s="211" customFormat="1" ht="39.75" thickBot="1" x14ac:dyDescent="0.3">
      <c r="A694" s="1038"/>
      <c r="B694" s="571"/>
      <c r="C694" s="67"/>
      <c r="D694" s="580"/>
      <c r="E694" s="580"/>
      <c r="F694" s="67"/>
      <c r="G694" s="560"/>
      <c r="H694" s="312"/>
      <c r="I694" s="1052"/>
      <c r="J694" s="399">
        <v>897</v>
      </c>
      <c r="K694" s="70" t="s">
        <v>6176</v>
      </c>
      <c r="L694" s="941">
        <v>1812488.0386999999</v>
      </c>
      <c r="M694" s="941">
        <v>5675512.7225000001</v>
      </c>
      <c r="N694" s="233"/>
      <c r="O694" s="233">
        <v>0.18</v>
      </c>
      <c r="P694" s="233" t="s">
        <v>194</v>
      </c>
      <c r="Q694" s="233"/>
      <c r="R694" s="233"/>
      <c r="S694" s="233" t="s">
        <v>6178</v>
      </c>
      <c r="T694" s="322" t="s">
        <v>6180</v>
      </c>
      <c r="U694" s="169" t="s">
        <v>10</v>
      </c>
      <c r="V694" s="151" t="s">
        <v>16</v>
      </c>
      <c r="W694" s="151" t="s">
        <v>16</v>
      </c>
      <c r="X694" s="153" t="s">
        <v>194</v>
      </c>
      <c r="Y694" s="153" t="s">
        <v>6182</v>
      </c>
      <c r="Z694" s="152" t="s">
        <v>6181</v>
      </c>
      <c r="AA694" s="153">
        <v>1</v>
      </c>
      <c r="AB694" s="153" t="s">
        <v>6183</v>
      </c>
      <c r="AC694" s="151">
        <v>347</v>
      </c>
      <c r="AD694" s="151">
        <v>353</v>
      </c>
      <c r="AE694" s="151">
        <v>351</v>
      </c>
      <c r="AF694" s="151"/>
      <c r="AG694" s="151"/>
      <c r="AH694" s="151"/>
      <c r="AI694" s="203" t="s">
        <v>256</v>
      </c>
      <c r="AJ694" s="202"/>
      <c r="AK694" s="202"/>
      <c r="AL694" s="442"/>
      <c r="AM694" s="442"/>
      <c r="AN694" s="203" t="s">
        <v>6084</v>
      </c>
      <c r="AO694" s="203" t="s">
        <v>6294</v>
      </c>
      <c r="AP694" s="152" t="s">
        <v>6121</v>
      </c>
      <c r="AQ694" s="152" t="s">
        <v>37</v>
      </c>
      <c r="AR694" s="170">
        <v>44316</v>
      </c>
      <c r="AS694" s="152" t="s">
        <v>37</v>
      </c>
      <c r="AT694" s="361"/>
      <c r="AU694" s="1112"/>
    </row>
    <row r="695" spans="1:47" s="211" customFormat="1" ht="51.75" x14ac:dyDescent="0.25">
      <c r="A695" s="635" t="s">
        <v>5593</v>
      </c>
      <c r="B695" s="316" t="s">
        <v>5594</v>
      </c>
      <c r="C695" s="254">
        <v>376</v>
      </c>
      <c r="D695" s="597" t="s">
        <v>52</v>
      </c>
      <c r="E695" s="597" t="s">
        <v>53</v>
      </c>
      <c r="F695" s="254" t="s">
        <v>4679</v>
      </c>
      <c r="G695" s="548" t="s">
        <v>1973</v>
      </c>
      <c r="H695" s="255" t="s">
        <v>5638</v>
      </c>
      <c r="I695" s="646" t="s">
        <v>5631</v>
      </c>
      <c r="J695" s="189">
        <v>2552</v>
      </c>
      <c r="K695" s="355" t="s">
        <v>5622</v>
      </c>
      <c r="L695" s="911">
        <v>1925933.1162</v>
      </c>
      <c r="M695" s="911">
        <v>5595930.3613</v>
      </c>
      <c r="N695" s="126">
        <v>25</v>
      </c>
      <c r="O695" s="126" t="s">
        <v>5833</v>
      </c>
      <c r="P695" s="125" t="s">
        <v>194</v>
      </c>
      <c r="Q695" s="126"/>
      <c r="R695" s="126"/>
      <c r="S695" s="126"/>
      <c r="T695" s="344" t="s">
        <v>5648</v>
      </c>
      <c r="U695" s="101" t="s">
        <v>10</v>
      </c>
      <c r="V695" s="31" t="s">
        <v>16</v>
      </c>
      <c r="W695" s="31" t="s">
        <v>16</v>
      </c>
      <c r="X695" s="31" t="s">
        <v>194</v>
      </c>
      <c r="Y695" s="130" t="s">
        <v>1538</v>
      </c>
      <c r="Z695" s="40" t="s">
        <v>3461</v>
      </c>
      <c r="AA695" s="31">
        <v>2</v>
      </c>
      <c r="AB695" s="130" t="s">
        <v>5320</v>
      </c>
      <c r="AC695" s="31">
        <v>15</v>
      </c>
      <c r="AD695" s="31"/>
      <c r="AE695" s="31"/>
      <c r="AF695" s="31">
        <v>12</v>
      </c>
      <c r="AG695" s="372"/>
      <c r="AH695" s="372"/>
      <c r="AI695" s="30" t="s">
        <v>256</v>
      </c>
      <c r="AJ695" s="31" t="s">
        <v>13</v>
      </c>
      <c r="AK695" s="31"/>
      <c r="AL695" s="372"/>
      <c r="AM695" s="372"/>
      <c r="AN695" s="40" t="s">
        <v>5664</v>
      </c>
      <c r="AO695" s="286" t="s">
        <v>5665</v>
      </c>
      <c r="AP695" s="40" t="s">
        <v>6949</v>
      </c>
      <c r="AQ695" s="40" t="s">
        <v>3457</v>
      </c>
      <c r="AR695" s="41">
        <v>44264</v>
      </c>
      <c r="AS695" s="40" t="s">
        <v>37</v>
      </c>
      <c r="AT695" s="41">
        <v>44270</v>
      </c>
      <c r="AU695" s="652" t="s">
        <v>37</v>
      </c>
    </row>
    <row r="696" spans="1:47" s="211" customFormat="1" ht="27" thickBot="1" x14ac:dyDescent="0.3">
      <c r="A696" s="636"/>
      <c r="B696" s="315"/>
      <c r="C696" s="261"/>
      <c r="D696" s="581"/>
      <c r="E696" s="581"/>
      <c r="F696" s="261"/>
      <c r="G696" s="549"/>
      <c r="H696" s="262"/>
      <c r="I696" s="1055"/>
      <c r="J696" s="190">
        <v>2553</v>
      </c>
      <c r="K696" s="357" t="s">
        <v>5623</v>
      </c>
      <c r="L696" s="912">
        <v>1923940.777</v>
      </c>
      <c r="M696" s="912">
        <v>5590511.7560000001</v>
      </c>
      <c r="N696" s="107">
        <v>20</v>
      </c>
      <c r="O696" s="107" t="s">
        <v>5330</v>
      </c>
      <c r="P696" s="96" t="s">
        <v>194</v>
      </c>
      <c r="Q696" s="107"/>
      <c r="R696" s="107"/>
      <c r="S696" s="107"/>
      <c r="T696" s="127" t="s">
        <v>5649</v>
      </c>
      <c r="U696" s="104" t="s">
        <v>10</v>
      </c>
      <c r="V696" s="25" t="s">
        <v>16</v>
      </c>
      <c r="W696" s="25" t="s">
        <v>16</v>
      </c>
      <c r="X696" s="25" t="s">
        <v>194</v>
      </c>
      <c r="Y696" s="105" t="s">
        <v>5156</v>
      </c>
      <c r="Z696" s="52" t="s">
        <v>3461</v>
      </c>
      <c r="AA696" s="25">
        <v>2</v>
      </c>
      <c r="AB696" s="105" t="s">
        <v>5320</v>
      </c>
      <c r="AC696" s="25">
        <v>15</v>
      </c>
      <c r="AD696" s="25"/>
      <c r="AE696" s="25"/>
      <c r="AF696" s="25">
        <v>12</v>
      </c>
      <c r="AG696" s="386"/>
      <c r="AH696" s="386"/>
      <c r="AI696" s="51" t="s">
        <v>5716</v>
      </c>
      <c r="AJ696" s="25" t="s">
        <v>13</v>
      </c>
      <c r="AK696" s="25"/>
      <c r="AL696" s="386"/>
      <c r="AM696" s="386"/>
      <c r="AN696" s="52" t="s">
        <v>5664</v>
      </c>
      <c r="AO696" s="52" t="s">
        <v>5666</v>
      </c>
      <c r="AP696" s="52" t="s">
        <v>6949</v>
      </c>
      <c r="AQ696" s="52" t="s">
        <v>3457</v>
      </c>
      <c r="AR696" s="53">
        <v>44264</v>
      </c>
      <c r="AS696" s="52" t="s">
        <v>37</v>
      </c>
      <c r="AT696" s="53">
        <v>44270</v>
      </c>
      <c r="AU696" s="653" t="s">
        <v>37</v>
      </c>
    </row>
    <row r="697" spans="1:47" s="551" customFormat="1" ht="115.5" x14ac:dyDescent="0.25">
      <c r="A697" s="807" t="s">
        <v>6066</v>
      </c>
      <c r="B697" s="349" t="s">
        <v>5951</v>
      </c>
      <c r="C697" s="157">
        <v>206</v>
      </c>
      <c r="D697" s="592" t="s">
        <v>57</v>
      </c>
      <c r="E697" s="592"/>
      <c r="F697" s="157" t="s">
        <v>4679</v>
      </c>
      <c r="G697" s="600" t="s">
        <v>1238</v>
      </c>
      <c r="H697" s="159" t="s">
        <v>5980</v>
      </c>
      <c r="I697" s="450" t="s">
        <v>6113</v>
      </c>
      <c r="J697" s="161">
        <v>919</v>
      </c>
      <c r="K697" s="434" t="s">
        <v>5981</v>
      </c>
      <c r="L697" s="919">
        <v>1889677.4227</v>
      </c>
      <c r="M697" s="919">
        <v>5759399.7445</v>
      </c>
      <c r="N697" s="163"/>
      <c r="O697" s="163" t="s">
        <v>6025</v>
      </c>
      <c r="P697" s="161" t="s">
        <v>193</v>
      </c>
      <c r="Q697" s="163"/>
      <c r="R697" s="163"/>
      <c r="S697" s="163"/>
      <c r="T697" s="163" t="s">
        <v>6025</v>
      </c>
      <c r="U697" s="138" t="s">
        <v>10</v>
      </c>
      <c r="V697" s="136" t="s">
        <v>16</v>
      </c>
      <c r="W697" s="136" t="s">
        <v>16</v>
      </c>
      <c r="X697" s="136" t="s">
        <v>194</v>
      </c>
      <c r="Y697" s="136" t="s">
        <v>6067</v>
      </c>
      <c r="Z697" s="137" t="s">
        <v>5978</v>
      </c>
      <c r="AA697" s="136">
        <v>1</v>
      </c>
      <c r="AB697" s="136" t="s">
        <v>5979</v>
      </c>
      <c r="AC697" s="136">
        <v>61</v>
      </c>
      <c r="AD697" s="136">
        <v>59.6</v>
      </c>
      <c r="AE697" s="136">
        <v>62.4</v>
      </c>
      <c r="AF697" s="136"/>
      <c r="AG697" s="350"/>
      <c r="AH697" s="350"/>
      <c r="AI697" s="180" t="s">
        <v>256</v>
      </c>
      <c r="AJ697" s="173"/>
      <c r="AK697" s="173"/>
      <c r="AL697" s="350"/>
      <c r="AM697" s="350"/>
      <c r="AN697" s="180" t="s">
        <v>6072</v>
      </c>
      <c r="AO697" s="137" t="s">
        <v>6086</v>
      </c>
      <c r="AP697" s="137" t="s">
        <v>5969</v>
      </c>
      <c r="AQ697" s="137" t="s">
        <v>37</v>
      </c>
      <c r="AR697" s="139">
        <v>44314</v>
      </c>
      <c r="AS697" s="137"/>
      <c r="AT697" s="358"/>
      <c r="AU697" s="1110"/>
    </row>
    <row r="698" spans="1:47" s="551" customFormat="1" ht="26.25" x14ac:dyDescent="0.25">
      <c r="A698" s="808"/>
      <c r="B698" s="550"/>
      <c r="C698" s="161"/>
      <c r="D698" s="573"/>
      <c r="E698" s="573"/>
      <c r="F698" s="161"/>
      <c r="G698" s="561"/>
      <c r="H698" s="163"/>
      <c r="I698" s="423"/>
      <c r="J698" s="161">
        <v>920</v>
      </c>
      <c r="K698" s="434" t="s">
        <v>5982</v>
      </c>
      <c r="L698" s="919">
        <v>1889841.8167000001</v>
      </c>
      <c r="M698" s="919">
        <v>5759673.2648999998</v>
      </c>
      <c r="N698" s="163"/>
      <c r="O698" s="163" t="s">
        <v>6026</v>
      </c>
      <c r="P698" s="161" t="s">
        <v>193</v>
      </c>
      <c r="Q698" s="163"/>
      <c r="R698" s="163"/>
      <c r="S698" s="163"/>
      <c r="T698" s="163" t="s">
        <v>6026</v>
      </c>
      <c r="U698" s="138" t="s">
        <v>10</v>
      </c>
      <c r="V698" s="136" t="s">
        <v>16</v>
      </c>
      <c r="W698" s="136" t="s">
        <v>16</v>
      </c>
      <c r="X698" s="136" t="s">
        <v>194</v>
      </c>
      <c r="Y698" s="136" t="s">
        <v>6068</v>
      </c>
      <c r="Z698" s="137" t="s">
        <v>5978</v>
      </c>
      <c r="AA698" s="136">
        <v>1</v>
      </c>
      <c r="AB698" s="136" t="s">
        <v>5979</v>
      </c>
      <c r="AC698" s="136">
        <v>61</v>
      </c>
      <c r="AD698" s="136">
        <v>59.6</v>
      </c>
      <c r="AE698" s="136">
        <v>62.4</v>
      </c>
      <c r="AF698" s="136"/>
      <c r="AG698" s="350"/>
      <c r="AH698" s="350"/>
      <c r="AI698" s="180" t="s">
        <v>256</v>
      </c>
      <c r="AJ698" s="173"/>
      <c r="AK698" s="173"/>
      <c r="AL698" s="350"/>
      <c r="AM698" s="350"/>
      <c r="AN698" s="180" t="s">
        <v>6072</v>
      </c>
      <c r="AO698" s="137" t="s">
        <v>6086</v>
      </c>
      <c r="AP698" s="137" t="s">
        <v>5969</v>
      </c>
      <c r="AQ698" s="137" t="s">
        <v>37</v>
      </c>
      <c r="AR698" s="139">
        <v>44314</v>
      </c>
      <c r="AS698" s="137"/>
      <c r="AT698" s="358"/>
      <c r="AU698" s="1110"/>
    </row>
    <row r="699" spans="1:47" s="551" customFormat="1" ht="26.25" x14ac:dyDescent="0.25">
      <c r="A699" s="808"/>
      <c r="B699" s="550"/>
      <c r="C699" s="161"/>
      <c r="D699" s="573"/>
      <c r="E699" s="573"/>
      <c r="F699" s="161"/>
      <c r="G699" s="561"/>
      <c r="H699" s="163"/>
      <c r="I699" s="423"/>
      <c r="J699" s="161">
        <v>921</v>
      </c>
      <c r="K699" s="434" t="s">
        <v>5983</v>
      </c>
      <c r="L699" s="919">
        <v>1889966.4801</v>
      </c>
      <c r="M699" s="919">
        <v>5759382.8876</v>
      </c>
      <c r="N699" s="163"/>
      <c r="O699" s="163" t="s">
        <v>6027</v>
      </c>
      <c r="P699" s="161" t="s">
        <v>193</v>
      </c>
      <c r="Q699" s="163"/>
      <c r="R699" s="163"/>
      <c r="S699" s="163"/>
      <c r="T699" s="163" t="s">
        <v>6027</v>
      </c>
      <c r="U699" s="138" t="s">
        <v>10</v>
      </c>
      <c r="V699" s="136" t="s">
        <v>16</v>
      </c>
      <c r="W699" s="136" t="s">
        <v>16</v>
      </c>
      <c r="X699" s="136" t="s">
        <v>194</v>
      </c>
      <c r="Y699" s="136" t="s">
        <v>6069</v>
      </c>
      <c r="Z699" s="137" t="s">
        <v>5978</v>
      </c>
      <c r="AA699" s="136">
        <v>1</v>
      </c>
      <c r="AB699" s="136" t="s">
        <v>5979</v>
      </c>
      <c r="AC699" s="136">
        <v>61</v>
      </c>
      <c r="AD699" s="136">
        <v>59.6</v>
      </c>
      <c r="AE699" s="136">
        <v>62.4</v>
      </c>
      <c r="AF699" s="136"/>
      <c r="AG699" s="350"/>
      <c r="AH699" s="350"/>
      <c r="AI699" s="180" t="s">
        <v>256</v>
      </c>
      <c r="AJ699" s="173"/>
      <c r="AK699" s="173"/>
      <c r="AL699" s="350"/>
      <c r="AM699" s="350"/>
      <c r="AN699" s="180" t="s">
        <v>6072</v>
      </c>
      <c r="AO699" s="137" t="s">
        <v>6086</v>
      </c>
      <c r="AP699" s="137" t="s">
        <v>5969</v>
      </c>
      <c r="AQ699" s="137" t="s">
        <v>37</v>
      </c>
      <c r="AR699" s="139">
        <v>44314</v>
      </c>
      <c r="AS699" s="137"/>
      <c r="AT699" s="358"/>
      <c r="AU699" s="1110"/>
    </row>
    <row r="700" spans="1:47" s="551" customFormat="1" ht="26.25" x14ac:dyDescent="0.25">
      <c r="A700" s="808"/>
      <c r="B700" s="550"/>
      <c r="C700" s="161"/>
      <c r="D700" s="573"/>
      <c r="E700" s="573"/>
      <c r="F700" s="161"/>
      <c r="G700" s="561"/>
      <c r="H700" s="163"/>
      <c r="I700" s="423"/>
      <c r="J700" s="161">
        <v>922</v>
      </c>
      <c r="K700" s="434" t="s">
        <v>5984</v>
      </c>
      <c r="L700" s="919">
        <v>1889926.5001999999</v>
      </c>
      <c r="M700" s="919">
        <v>5759876.8143999996</v>
      </c>
      <c r="N700" s="163"/>
      <c r="O700" s="163" t="s">
        <v>6028</v>
      </c>
      <c r="P700" s="161" t="s">
        <v>193</v>
      </c>
      <c r="Q700" s="163"/>
      <c r="R700" s="163"/>
      <c r="S700" s="163"/>
      <c r="T700" s="163" t="s">
        <v>6028</v>
      </c>
      <c r="U700" s="138" t="s">
        <v>10</v>
      </c>
      <c r="V700" s="136" t="s">
        <v>16</v>
      </c>
      <c r="W700" s="136" t="s">
        <v>16</v>
      </c>
      <c r="X700" s="136" t="s">
        <v>194</v>
      </c>
      <c r="Y700" s="136" t="s">
        <v>6070</v>
      </c>
      <c r="Z700" s="137" t="s">
        <v>5978</v>
      </c>
      <c r="AA700" s="136">
        <v>1</v>
      </c>
      <c r="AB700" s="136" t="s">
        <v>5979</v>
      </c>
      <c r="AC700" s="136">
        <v>61</v>
      </c>
      <c r="AD700" s="136">
        <v>59.6</v>
      </c>
      <c r="AE700" s="136">
        <v>62.4</v>
      </c>
      <c r="AF700" s="136"/>
      <c r="AG700" s="350"/>
      <c r="AH700" s="350"/>
      <c r="AI700" s="180" t="s">
        <v>256</v>
      </c>
      <c r="AJ700" s="173"/>
      <c r="AK700" s="173"/>
      <c r="AL700" s="350"/>
      <c r="AM700" s="350"/>
      <c r="AN700" s="180" t="s">
        <v>6072</v>
      </c>
      <c r="AO700" s="137" t="s">
        <v>6086</v>
      </c>
      <c r="AP700" s="137" t="s">
        <v>5969</v>
      </c>
      <c r="AQ700" s="137" t="s">
        <v>37</v>
      </c>
      <c r="AR700" s="139">
        <v>44314</v>
      </c>
      <c r="AS700" s="137"/>
      <c r="AT700" s="358"/>
      <c r="AU700" s="1110"/>
    </row>
    <row r="701" spans="1:47" s="551" customFormat="1" ht="26.25" x14ac:dyDescent="0.25">
      <c r="A701" s="808"/>
      <c r="B701" s="550"/>
      <c r="C701" s="161"/>
      <c r="D701" s="573"/>
      <c r="E701" s="573"/>
      <c r="F701" s="161"/>
      <c r="G701" s="561"/>
      <c r="H701" s="163"/>
      <c r="I701" s="423"/>
      <c r="J701" s="161">
        <v>923</v>
      </c>
      <c r="K701" s="434" t="s">
        <v>5985</v>
      </c>
      <c r="L701" s="919">
        <v>1889448.0622</v>
      </c>
      <c r="M701" s="919">
        <v>5759685.5593999997</v>
      </c>
      <c r="N701" s="163"/>
      <c r="O701" s="163" t="s">
        <v>6029</v>
      </c>
      <c r="P701" s="161" t="s">
        <v>193</v>
      </c>
      <c r="Q701" s="163"/>
      <c r="R701" s="163"/>
      <c r="S701" s="163"/>
      <c r="T701" s="163" t="s">
        <v>6029</v>
      </c>
      <c r="U701" s="138" t="s">
        <v>10</v>
      </c>
      <c r="V701" s="136" t="s">
        <v>16</v>
      </c>
      <c r="W701" s="136" t="s">
        <v>16</v>
      </c>
      <c r="X701" s="136" t="s">
        <v>194</v>
      </c>
      <c r="Y701" s="136" t="s">
        <v>6071</v>
      </c>
      <c r="Z701" s="137" t="s">
        <v>5978</v>
      </c>
      <c r="AA701" s="136">
        <v>1</v>
      </c>
      <c r="AB701" s="136" t="s">
        <v>5979</v>
      </c>
      <c r="AC701" s="136">
        <v>61</v>
      </c>
      <c r="AD701" s="136">
        <v>59.6</v>
      </c>
      <c r="AE701" s="136">
        <v>62.4</v>
      </c>
      <c r="AF701" s="136"/>
      <c r="AG701" s="350"/>
      <c r="AH701" s="350"/>
      <c r="AI701" s="180" t="s">
        <v>256</v>
      </c>
      <c r="AJ701" s="173"/>
      <c r="AK701" s="173"/>
      <c r="AL701" s="350"/>
      <c r="AM701" s="350"/>
      <c r="AN701" s="180" t="s">
        <v>6072</v>
      </c>
      <c r="AO701" s="137" t="s">
        <v>6086</v>
      </c>
      <c r="AP701" s="137" t="s">
        <v>5969</v>
      </c>
      <c r="AQ701" s="137" t="s">
        <v>37</v>
      </c>
      <c r="AR701" s="139">
        <v>44314</v>
      </c>
      <c r="AS701" s="137"/>
      <c r="AT701" s="358"/>
      <c r="AU701" s="1110"/>
    </row>
    <row r="702" spans="1:47" s="551" customFormat="1" ht="26.25" x14ac:dyDescent="0.25">
      <c r="A702" s="808"/>
      <c r="B702" s="550"/>
      <c r="C702" s="161"/>
      <c r="D702" s="573"/>
      <c r="E702" s="573"/>
      <c r="F702" s="161"/>
      <c r="G702" s="561"/>
      <c r="H702" s="163"/>
      <c r="I702" s="423"/>
      <c r="J702" s="161">
        <v>924</v>
      </c>
      <c r="K702" s="434" t="s">
        <v>5986</v>
      </c>
      <c r="L702" s="919">
        <v>1885383.0341</v>
      </c>
      <c r="M702" s="919">
        <v>5757681.7189999996</v>
      </c>
      <c r="N702" s="163"/>
      <c r="O702" s="163" t="s">
        <v>6030</v>
      </c>
      <c r="P702" s="161" t="s">
        <v>193</v>
      </c>
      <c r="Q702" s="163"/>
      <c r="R702" s="163"/>
      <c r="S702" s="163"/>
      <c r="T702" s="163" t="s">
        <v>6030</v>
      </c>
      <c r="U702" s="138" t="s">
        <v>10</v>
      </c>
      <c r="V702" s="136" t="s">
        <v>16</v>
      </c>
      <c r="W702" s="136" t="s">
        <v>16</v>
      </c>
      <c r="X702" s="136" t="s">
        <v>194</v>
      </c>
      <c r="Y702" s="136" t="s">
        <v>6073</v>
      </c>
      <c r="Z702" s="137" t="s">
        <v>5978</v>
      </c>
      <c r="AA702" s="136">
        <v>1</v>
      </c>
      <c r="AB702" s="136" t="s">
        <v>5979</v>
      </c>
      <c r="AC702" s="136">
        <v>61</v>
      </c>
      <c r="AD702" s="136">
        <v>59.6</v>
      </c>
      <c r="AE702" s="136">
        <v>62.4</v>
      </c>
      <c r="AF702" s="136"/>
      <c r="AG702" s="350"/>
      <c r="AH702" s="350"/>
      <c r="AI702" s="180" t="s">
        <v>256</v>
      </c>
      <c r="AJ702" s="173"/>
      <c r="AK702" s="173"/>
      <c r="AL702" s="350"/>
      <c r="AM702" s="350"/>
      <c r="AN702" s="180" t="s">
        <v>6072</v>
      </c>
      <c r="AO702" s="137" t="s">
        <v>6086</v>
      </c>
      <c r="AP702" s="137" t="s">
        <v>5969</v>
      </c>
      <c r="AQ702" s="137" t="s">
        <v>37</v>
      </c>
      <c r="AR702" s="139">
        <v>44314</v>
      </c>
      <c r="AS702" s="137"/>
      <c r="AT702" s="358"/>
      <c r="AU702" s="1110"/>
    </row>
    <row r="703" spans="1:47" s="551" customFormat="1" ht="26.25" x14ac:dyDescent="0.25">
      <c r="A703" s="808"/>
      <c r="B703" s="550"/>
      <c r="C703" s="161"/>
      <c r="D703" s="573"/>
      <c r="E703" s="573"/>
      <c r="F703" s="161"/>
      <c r="G703" s="561"/>
      <c r="H703" s="163"/>
      <c r="I703" s="423"/>
      <c r="J703" s="161">
        <v>925</v>
      </c>
      <c r="K703" s="434" t="s">
        <v>5987</v>
      </c>
      <c r="L703" s="919">
        <v>1885278.128</v>
      </c>
      <c r="M703" s="919">
        <v>5757700.2033000002</v>
      </c>
      <c r="N703" s="163"/>
      <c r="O703" s="163" t="s">
        <v>6031</v>
      </c>
      <c r="P703" s="161" t="s">
        <v>193</v>
      </c>
      <c r="Q703" s="163"/>
      <c r="R703" s="163"/>
      <c r="S703" s="163"/>
      <c r="T703" s="163" t="s">
        <v>6031</v>
      </c>
      <c r="U703" s="138" t="s">
        <v>10</v>
      </c>
      <c r="V703" s="136" t="s">
        <v>16</v>
      </c>
      <c r="W703" s="136" t="s">
        <v>16</v>
      </c>
      <c r="X703" s="136" t="s">
        <v>194</v>
      </c>
      <c r="Y703" s="136" t="s">
        <v>6074</v>
      </c>
      <c r="Z703" s="137" t="s">
        <v>5978</v>
      </c>
      <c r="AA703" s="136">
        <v>1</v>
      </c>
      <c r="AB703" s="136" t="s">
        <v>5979</v>
      </c>
      <c r="AC703" s="136">
        <v>61</v>
      </c>
      <c r="AD703" s="136">
        <v>59.6</v>
      </c>
      <c r="AE703" s="136">
        <v>62.4</v>
      </c>
      <c r="AF703" s="136"/>
      <c r="AG703" s="350"/>
      <c r="AH703" s="350"/>
      <c r="AI703" s="180" t="s">
        <v>256</v>
      </c>
      <c r="AJ703" s="173"/>
      <c r="AK703" s="173"/>
      <c r="AL703" s="350"/>
      <c r="AM703" s="350"/>
      <c r="AN703" s="180" t="s">
        <v>6072</v>
      </c>
      <c r="AO703" s="137" t="s">
        <v>6086</v>
      </c>
      <c r="AP703" s="137" t="s">
        <v>5969</v>
      </c>
      <c r="AQ703" s="137" t="s">
        <v>37</v>
      </c>
      <c r="AR703" s="139">
        <v>44314</v>
      </c>
      <c r="AS703" s="137"/>
      <c r="AT703" s="358"/>
      <c r="AU703" s="1110"/>
    </row>
    <row r="704" spans="1:47" s="551" customFormat="1" ht="26.25" x14ac:dyDescent="0.25">
      <c r="A704" s="808"/>
      <c r="B704" s="550"/>
      <c r="C704" s="161"/>
      <c r="D704" s="573"/>
      <c r="E704" s="573"/>
      <c r="F704" s="161"/>
      <c r="G704" s="561"/>
      <c r="H704" s="163"/>
      <c r="I704" s="423"/>
      <c r="J704" s="161">
        <v>926</v>
      </c>
      <c r="K704" s="434" t="s">
        <v>5988</v>
      </c>
      <c r="L704" s="919">
        <v>1885239.3783</v>
      </c>
      <c r="M704" s="919">
        <v>5758057.8952000001</v>
      </c>
      <c r="N704" s="163"/>
      <c r="O704" s="163" t="s">
        <v>6032</v>
      </c>
      <c r="P704" s="161" t="s">
        <v>193</v>
      </c>
      <c r="Q704" s="163"/>
      <c r="R704" s="163"/>
      <c r="S704" s="163"/>
      <c r="T704" s="163" t="s">
        <v>6032</v>
      </c>
      <c r="U704" s="138" t="s">
        <v>10</v>
      </c>
      <c r="V704" s="136" t="s">
        <v>16</v>
      </c>
      <c r="W704" s="136" t="s">
        <v>16</v>
      </c>
      <c r="X704" s="136" t="s">
        <v>194</v>
      </c>
      <c r="Y704" s="136" t="s">
        <v>6075</v>
      </c>
      <c r="Z704" s="137" t="s">
        <v>5978</v>
      </c>
      <c r="AA704" s="136">
        <v>1</v>
      </c>
      <c r="AB704" s="136" t="s">
        <v>5979</v>
      </c>
      <c r="AC704" s="136">
        <v>61</v>
      </c>
      <c r="AD704" s="136">
        <v>59.6</v>
      </c>
      <c r="AE704" s="136">
        <v>62.4</v>
      </c>
      <c r="AF704" s="136"/>
      <c r="AG704" s="350"/>
      <c r="AH704" s="350"/>
      <c r="AI704" s="180" t="s">
        <v>256</v>
      </c>
      <c r="AJ704" s="173"/>
      <c r="AK704" s="173"/>
      <c r="AL704" s="350"/>
      <c r="AM704" s="350"/>
      <c r="AN704" s="180" t="s">
        <v>6072</v>
      </c>
      <c r="AO704" s="137" t="s">
        <v>6086</v>
      </c>
      <c r="AP704" s="137" t="s">
        <v>5969</v>
      </c>
      <c r="AQ704" s="137" t="s">
        <v>37</v>
      </c>
      <c r="AR704" s="139">
        <v>44314</v>
      </c>
      <c r="AS704" s="137"/>
      <c r="AT704" s="358"/>
      <c r="AU704" s="1110"/>
    </row>
    <row r="705" spans="1:47" s="551" customFormat="1" ht="26.25" x14ac:dyDescent="0.25">
      <c r="A705" s="808"/>
      <c r="B705" s="550"/>
      <c r="C705" s="161"/>
      <c r="D705" s="573"/>
      <c r="E705" s="573"/>
      <c r="F705" s="161"/>
      <c r="G705" s="561"/>
      <c r="H705" s="163"/>
      <c r="I705" s="423"/>
      <c r="J705" s="161">
        <v>927</v>
      </c>
      <c r="K705" s="434" t="s">
        <v>5989</v>
      </c>
      <c r="L705" s="919">
        <v>1885168.6967</v>
      </c>
      <c r="M705" s="919">
        <v>5758108.7764999997</v>
      </c>
      <c r="N705" s="163"/>
      <c r="O705" s="163" t="s">
        <v>6028</v>
      </c>
      <c r="P705" s="161" t="s">
        <v>193</v>
      </c>
      <c r="Q705" s="163"/>
      <c r="R705" s="163"/>
      <c r="S705" s="163"/>
      <c r="T705" s="163" t="s">
        <v>6028</v>
      </c>
      <c r="U705" s="138" t="s">
        <v>10</v>
      </c>
      <c r="V705" s="136" t="s">
        <v>16</v>
      </c>
      <c r="W705" s="136" t="s">
        <v>16</v>
      </c>
      <c r="X705" s="136" t="s">
        <v>194</v>
      </c>
      <c r="Y705" s="136" t="s">
        <v>6076</v>
      </c>
      <c r="Z705" s="137" t="s">
        <v>5978</v>
      </c>
      <c r="AA705" s="136">
        <v>1</v>
      </c>
      <c r="AB705" s="136" t="s">
        <v>5979</v>
      </c>
      <c r="AC705" s="136">
        <v>61</v>
      </c>
      <c r="AD705" s="136">
        <v>59.6</v>
      </c>
      <c r="AE705" s="136">
        <v>62.4</v>
      </c>
      <c r="AF705" s="136"/>
      <c r="AG705" s="350"/>
      <c r="AH705" s="350"/>
      <c r="AI705" s="180" t="s">
        <v>256</v>
      </c>
      <c r="AJ705" s="173"/>
      <c r="AK705" s="173"/>
      <c r="AL705" s="350"/>
      <c r="AM705" s="350"/>
      <c r="AN705" s="180" t="s">
        <v>6072</v>
      </c>
      <c r="AO705" s="137" t="s">
        <v>6086</v>
      </c>
      <c r="AP705" s="137" t="s">
        <v>5969</v>
      </c>
      <c r="AQ705" s="137" t="s">
        <v>37</v>
      </c>
      <c r="AR705" s="139">
        <v>44314</v>
      </c>
      <c r="AS705" s="137"/>
      <c r="AT705" s="358"/>
      <c r="AU705" s="1110"/>
    </row>
    <row r="706" spans="1:47" s="551" customFormat="1" ht="26.25" x14ac:dyDescent="0.25">
      <c r="A706" s="808"/>
      <c r="B706" s="550"/>
      <c r="C706" s="161"/>
      <c r="D706" s="573"/>
      <c r="E706" s="573"/>
      <c r="F706" s="161"/>
      <c r="G706" s="561"/>
      <c r="H706" s="163"/>
      <c r="I706" s="423"/>
      <c r="J706" s="161">
        <v>928</v>
      </c>
      <c r="K706" s="434" t="s">
        <v>5990</v>
      </c>
      <c r="L706" s="919">
        <v>1885583.486</v>
      </c>
      <c r="M706" s="919">
        <v>5757990.2857999997</v>
      </c>
      <c r="N706" s="163"/>
      <c r="O706" s="163" t="s">
        <v>6033</v>
      </c>
      <c r="P706" s="161" t="s">
        <v>193</v>
      </c>
      <c r="Q706" s="163"/>
      <c r="R706" s="163"/>
      <c r="S706" s="163"/>
      <c r="T706" s="163" t="s">
        <v>6033</v>
      </c>
      <c r="U706" s="138" t="s">
        <v>10</v>
      </c>
      <c r="V706" s="136" t="s">
        <v>16</v>
      </c>
      <c r="W706" s="136" t="s">
        <v>16</v>
      </c>
      <c r="X706" s="136" t="s">
        <v>194</v>
      </c>
      <c r="Y706" s="136" t="s">
        <v>6077</v>
      </c>
      <c r="Z706" s="137" t="s">
        <v>5978</v>
      </c>
      <c r="AA706" s="136">
        <v>1</v>
      </c>
      <c r="AB706" s="136" t="s">
        <v>5979</v>
      </c>
      <c r="AC706" s="136">
        <v>61</v>
      </c>
      <c r="AD706" s="136">
        <v>59.6</v>
      </c>
      <c r="AE706" s="136">
        <v>62.4</v>
      </c>
      <c r="AF706" s="136"/>
      <c r="AG706" s="350"/>
      <c r="AH706" s="350"/>
      <c r="AI706" s="180" t="s">
        <v>256</v>
      </c>
      <c r="AJ706" s="173"/>
      <c r="AK706" s="173"/>
      <c r="AL706" s="350"/>
      <c r="AM706" s="350"/>
      <c r="AN706" s="180" t="s">
        <v>6072</v>
      </c>
      <c r="AO706" s="137" t="s">
        <v>6086</v>
      </c>
      <c r="AP706" s="137" t="s">
        <v>5969</v>
      </c>
      <c r="AQ706" s="137" t="s">
        <v>37</v>
      </c>
      <c r="AR706" s="139">
        <v>44314</v>
      </c>
      <c r="AS706" s="137"/>
      <c r="AT706" s="358"/>
      <c r="AU706" s="1110"/>
    </row>
    <row r="707" spans="1:47" s="551" customFormat="1" ht="26.25" x14ac:dyDescent="0.25">
      <c r="A707" s="808"/>
      <c r="B707" s="550"/>
      <c r="C707" s="161"/>
      <c r="D707" s="573"/>
      <c r="E707" s="573"/>
      <c r="F707" s="161"/>
      <c r="G707" s="561"/>
      <c r="H707" s="163"/>
      <c r="I707" s="423"/>
      <c r="J707" s="161">
        <v>929</v>
      </c>
      <c r="K707" s="434" t="s">
        <v>5991</v>
      </c>
      <c r="L707" s="919">
        <v>1884673.9605</v>
      </c>
      <c r="M707" s="919">
        <v>5758708.6567000002</v>
      </c>
      <c r="N707" s="163"/>
      <c r="O707" s="163" t="s">
        <v>6034</v>
      </c>
      <c r="P707" s="161" t="s">
        <v>193</v>
      </c>
      <c r="Q707" s="163"/>
      <c r="R707" s="163"/>
      <c r="S707" s="163"/>
      <c r="T707" s="163" t="s">
        <v>6034</v>
      </c>
      <c r="U707" s="138" t="s">
        <v>10</v>
      </c>
      <c r="V707" s="136" t="s">
        <v>16</v>
      </c>
      <c r="W707" s="136" t="s">
        <v>16</v>
      </c>
      <c r="X707" s="136" t="s">
        <v>194</v>
      </c>
      <c r="Y707" s="136" t="s">
        <v>6078</v>
      </c>
      <c r="Z707" s="137" t="s">
        <v>5978</v>
      </c>
      <c r="AA707" s="136">
        <v>1</v>
      </c>
      <c r="AB707" s="136" t="s">
        <v>5979</v>
      </c>
      <c r="AC707" s="136">
        <v>61</v>
      </c>
      <c r="AD707" s="136">
        <v>59.6</v>
      </c>
      <c r="AE707" s="136">
        <v>62.4</v>
      </c>
      <c r="AF707" s="136"/>
      <c r="AG707" s="350"/>
      <c r="AH707" s="350"/>
      <c r="AI707" s="180" t="s">
        <v>256</v>
      </c>
      <c r="AJ707" s="173"/>
      <c r="AK707" s="173"/>
      <c r="AL707" s="350"/>
      <c r="AM707" s="350"/>
      <c r="AN707" s="180" t="s">
        <v>6072</v>
      </c>
      <c r="AO707" s="137" t="s">
        <v>6086</v>
      </c>
      <c r="AP707" s="137" t="s">
        <v>5969</v>
      </c>
      <c r="AQ707" s="137" t="s">
        <v>37</v>
      </c>
      <c r="AR707" s="139">
        <v>44314</v>
      </c>
      <c r="AS707" s="137"/>
      <c r="AT707" s="358"/>
      <c r="AU707" s="1110"/>
    </row>
    <row r="708" spans="1:47" s="551" customFormat="1" ht="27" thickBot="1" x14ac:dyDescent="0.3">
      <c r="A708" s="809"/>
      <c r="B708" s="174"/>
      <c r="C708" s="165"/>
      <c r="D708" s="574"/>
      <c r="E708" s="574"/>
      <c r="F708" s="165"/>
      <c r="G708" s="603"/>
      <c r="H708" s="167"/>
      <c r="I708" s="424"/>
      <c r="J708" s="161">
        <v>930</v>
      </c>
      <c r="K708" s="434" t="s">
        <v>5992</v>
      </c>
      <c r="L708" s="919">
        <v>1885291.1170999999</v>
      </c>
      <c r="M708" s="919">
        <v>5758582.3890000004</v>
      </c>
      <c r="N708" s="163"/>
      <c r="O708" s="163" t="s">
        <v>6035</v>
      </c>
      <c r="P708" s="161" t="s">
        <v>193</v>
      </c>
      <c r="Q708" s="163"/>
      <c r="R708" s="163"/>
      <c r="S708" s="163"/>
      <c r="T708" s="163" t="s">
        <v>6035</v>
      </c>
      <c r="U708" s="138" t="s">
        <v>10</v>
      </c>
      <c r="V708" s="136" t="s">
        <v>16</v>
      </c>
      <c r="W708" s="136" t="s">
        <v>16</v>
      </c>
      <c r="X708" s="136" t="s">
        <v>194</v>
      </c>
      <c r="Y708" s="136" t="s">
        <v>6079</v>
      </c>
      <c r="Z708" s="137" t="s">
        <v>5978</v>
      </c>
      <c r="AA708" s="136">
        <v>1</v>
      </c>
      <c r="AB708" s="136" t="s">
        <v>5979</v>
      </c>
      <c r="AC708" s="136">
        <v>61</v>
      </c>
      <c r="AD708" s="136">
        <v>59.6</v>
      </c>
      <c r="AE708" s="136">
        <v>62.4</v>
      </c>
      <c r="AF708" s="136"/>
      <c r="AG708" s="350"/>
      <c r="AH708" s="350"/>
      <c r="AI708" s="180" t="s">
        <v>256</v>
      </c>
      <c r="AJ708" s="173"/>
      <c r="AK708" s="173"/>
      <c r="AL708" s="350"/>
      <c r="AM708" s="350"/>
      <c r="AN708" s="180" t="s">
        <v>6072</v>
      </c>
      <c r="AO708" s="137" t="s">
        <v>6086</v>
      </c>
      <c r="AP708" s="137" t="s">
        <v>5969</v>
      </c>
      <c r="AQ708" s="137" t="s">
        <v>37</v>
      </c>
      <c r="AR708" s="139">
        <v>44314</v>
      </c>
      <c r="AS708" s="137"/>
      <c r="AT708" s="358"/>
      <c r="AU708" s="1110"/>
    </row>
    <row r="709" spans="1:47" s="211" customFormat="1" ht="51.75" x14ac:dyDescent="0.25">
      <c r="A709" s="700" t="s">
        <v>3194</v>
      </c>
      <c r="B709" s="700" t="s">
        <v>3194</v>
      </c>
      <c r="C709" s="217">
        <v>247</v>
      </c>
      <c r="D709" s="596" t="s">
        <v>57</v>
      </c>
      <c r="E709" s="596"/>
      <c r="F709" s="217" t="s">
        <v>668</v>
      </c>
      <c r="G709" s="525" t="s">
        <v>1238</v>
      </c>
      <c r="H709" s="219" t="s">
        <v>5604</v>
      </c>
      <c r="I709" s="645" t="s">
        <v>5605</v>
      </c>
      <c r="J709" s="218">
        <v>467</v>
      </c>
      <c r="K709" s="469" t="s">
        <v>3195</v>
      </c>
      <c r="L709" s="961">
        <v>1836729.9127</v>
      </c>
      <c r="M709" s="961">
        <v>5648471.5471999999</v>
      </c>
      <c r="N709" s="219"/>
      <c r="O709" s="219" t="s">
        <v>3203</v>
      </c>
      <c r="P709" s="219" t="s">
        <v>345</v>
      </c>
      <c r="Q709" s="219"/>
      <c r="R709" s="219"/>
      <c r="S709" s="219"/>
      <c r="T709" s="556" t="s">
        <v>5834</v>
      </c>
      <c r="U709" s="169" t="s">
        <v>10</v>
      </c>
      <c r="V709" s="151" t="s">
        <v>16</v>
      </c>
      <c r="W709" s="151" t="s">
        <v>16</v>
      </c>
      <c r="X709" s="153" t="s">
        <v>345</v>
      </c>
      <c r="Y709" s="153" t="s">
        <v>3210</v>
      </c>
      <c r="Z709" s="152" t="s">
        <v>1239</v>
      </c>
      <c r="AA709" s="440">
        <v>1</v>
      </c>
      <c r="AB709" s="153">
        <v>36.1</v>
      </c>
      <c r="AC709" s="151">
        <v>36.1</v>
      </c>
      <c r="AD709" s="151"/>
      <c r="AE709" s="151"/>
      <c r="AF709" s="151"/>
      <c r="AG709" s="151"/>
      <c r="AH709" s="151"/>
      <c r="AI709" s="203" t="s">
        <v>1915</v>
      </c>
      <c r="AJ709" s="202"/>
      <c r="AK709" s="202"/>
      <c r="AL709" s="442"/>
      <c r="AM709" s="442"/>
      <c r="AN709" s="203" t="s">
        <v>3230</v>
      </c>
      <c r="AO709" s="203" t="s">
        <v>3233</v>
      </c>
      <c r="AP709" s="152" t="s">
        <v>3234</v>
      </c>
      <c r="AQ709" s="152" t="s">
        <v>37</v>
      </c>
      <c r="AR709" s="170">
        <v>44134</v>
      </c>
      <c r="AS709" s="152" t="s">
        <v>37</v>
      </c>
      <c r="AT709" s="361"/>
      <c r="AU709" s="1112"/>
    </row>
    <row r="710" spans="1:47" s="211" customFormat="1" ht="39" x14ac:dyDescent="0.25">
      <c r="A710" s="1046"/>
      <c r="B710" s="702"/>
      <c r="C710" s="213"/>
      <c r="D710" s="578"/>
      <c r="E710" s="578"/>
      <c r="F710" s="213"/>
      <c r="G710" s="214"/>
      <c r="H710" s="216"/>
      <c r="I710" s="1053"/>
      <c r="J710" s="215">
        <v>468</v>
      </c>
      <c r="K710" s="470" t="s">
        <v>3196</v>
      </c>
      <c r="L710" s="962">
        <v>1836738.9010999999</v>
      </c>
      <c r="M710" s="962">
        <v>5648414.3485000003</v>
      </c>
      <c r="N710" s="216"/>
      <c r="O710" s="216" t="s">
        <v>3204</v>
      </c>
      <c r="P710" s="216" t="s">
        <v>345</v>
      </c>
      <c r="Q710" s="216"/>
      <c r="R710" s="216"/>
      <c r="S710" s="216"/>
      <c r="T710" s="224" t="s">
        <v>5835</v>
      </c>
      <c r="U710" s="138" t="s">
        <v>10</v>
      </c>
      <c r="V710" s="136" t="s">
        <v>16</v>
      </c>
      <c r="W710" s="136" t="s">
        <v>16</v>
      </c>
      <c r="X710" s="132" t="s">
        <v>345</v>
      </c>
      <c r="Y710" s="132" t="s">
        <v>731</v>
      </c>
      <c r="Z710" s="137" t="s">
        <v>1239</v>
      </c>
      <c r="AA710" s="439">
        <v>1</v>
      </c>
      <c r="AB710" s="132">
        <v>27</v>
      </c>
      <c r="AC710" s="136">
        <v>27</v>
      </c>
      <c r="AD710" s="136"/>
      <c r="AE710" s="136"/>
      <c r="AF710" s="136"/>
      <c r="AG710" s="136"/>
      <c r="AH710" s="136"/>
      <c r="AI710" s="180" t="s">
        <v>1915</v>
      </c>
      <c r="AJ710" s="173"/>
      <c r="AK710" s="173"/>
      <c r="AL710" s="350"/>
      <c r="AM710" s="350"/>
      <c r="AN710" s="180" t="s">
        <v>3232</v>
      </c>
      <c r="AO710" s="180" t="s">
        <v>3233</v>
      </c>
      <c r="AP710" s="137" t="s">
        <v>3235</v>
      </c>
      <c r="AQ710" s="137" t="s">
        <v>37</v>
      </c>
      <c r="AR710" s="139">
        <v>44134</v>
      </c>
      <c r="AS710" s="137" t="s">
        <v>37</v>
      </c>
      <c r="AT710" s="358"/>
      <c r="AU710" s="1110"/>
    </row>
    <row r="711" spans="1:47" s="211" customFormat="1" ht="26.25" x14ac:dyDescent="0.25">
      <c r="A711" s="1046"/>
      <c r="B711" s="702"/>
      <c r="C711" s="213"/>
      <c r="D711" s="578"/>
      <c r="E711" s="578"/>
      <c r="F711" s="213"/>
      <c r="G711" s="214"/>
      <c r="H711" s="216"/>
      <c r="I711" s="1053"/>
      <c r="J711" s="215">
        <v>469</v>
      </c>
      <c r="K711" s="470" t="s">
        <v>3197</v>
      </c>
      <c r="L711" s="962">
        <v>1836758.5120999999</v>
      </c>
      <c r="M711" s="962">
        <v>5648362.8695999999</v>
      </c>
      <c r="N711" s="216"/>
      <c r="O711" s="216" t="s">
        <v>3205</v>
      </c>
      <c r="P711" s="216" t="s">
        <v>345</v>
      </c>
      <c r="Q711" s="216"/>
      <c r="R711" s="216"/>
      <c r="S711" s="216"/>
      <c r="T711" s="224" t="s">
        <v>5836</v>
      </c>
      <c r="U711" s="138" t="s">
        <v>10</v>
      </c>
      <c r="V711" s="136" t="s">
        <v>16</v>
      </c>
      <c r="W711" s="136" t="s">
        <v>16</v>
      </c>
      <c r="X711" s="132" t="s">
        <v>345</v>
      </c>
      <c r="Y711" s="132" t="s">
        <v>1076</v>
      </c>
      <c r="Z711" s="137" t="s">
        <v>1239</v>
      </c>
      <c r="AA711" s="439">
        <v>1</v>
      </c>
      <c r="AB711" s="132">
        <v>28.6</v>
      </c>
      <c r="AC711" s="136">
        <v>28.6</v>
      </c>
      <c r="AD711" s="136"/>
      <c r="AE711" s="136"/>
      <c r="AF711" s="136"/>
      <c r="AG711" s="136"/>
      <c r="AH711" s="136"/>
      <c r="AI711" s="180" t="s">
        <v>1915</v>
      </c>
      <c r="AJ711" s="173"/>
      <c r="AK711" s="173"/>
      <c r="AL711" s="350"/>
      <c r="AM711" s="350"/>
      <c r="AN711" s="180" t="s">
        <v>3231</v>
      </c>
      <c r="AO711" s="180" t="s">
        <v>3233</v>
      </c>
      <c r="AP711" s="137" t="s">
        <v>3235</v>
      </c>
      <c r="AQ711" s="137" t="s">
        <v>37</v>
      </c>
      <c r="AR711" s="139">
        <v>44134</v>
      </c>
      <c r="AS711" s="137" t="s">
        <v>37</v>
      </c>
      <c r="AT711" s="358"/>
      <c r="AU711" s="1110"/>
    </row>
    <row r="712" spans="1:47" s="211" customFormat="1" ht="26.25" x14ac:dyDescent="0.25">
      <c r="A712" s="1046"/>
      <c r="B712" s="702"/>
      <c r="C712" s="213"/>
      <c r="D712" s="578"/>
      <c r="E712" s="578"/>
      <c r="F712" s="213"/>
      <c r="G712" s="214"/>
      <c r="H712" s="216"/>
      <c r="I712" s="1053"/>
      <c r="J712" s="215">
        <v>470</v>
      </c>
      <c r="K712" s="470" t="s">
        <v>3198</v>
      </c>
      <c r="L712" s="962">
        <v>1836808.3566999999</v>
      </c>
      <c r="M712" s="962">
        <v>5648315.4763000002</v>
      </c>
      <c r="N712" s="216"/>
      <c r="O712" s="216" t="s">
        <v>3206</v>
      </c>
      <c r="P712" s="216" t="s">
        <v>345</v>
      </c>
      <c r="Q712" s="216"/>
      <c r="R712" s="216"/>
      <c r="S712" s="216"/>
      <c r="T712" s="224" t="s">
        <v>5837</v>
      </c>
      <c r="U712" s="138" t="s">
        <v>10</v>
      </c>
      <c r="V712" s="136" t="s">
        <v>16</v>
      </c>
      <c r="W712" s="136" t="s">
        <v>16</v>
      </c>
      <c r="X712" s="132" t="s">
        <v>345</v>
      </c>
      <c r="Y712" s="132" t="s">
        <v>3112</v>
      </c>
      <c r="Z712" s="137" t="s">
        <v>1239</v>
      </c>
      <c r="AA712" s="439">
        <v>1</v>
      </c>
      <c r="AB712" s="132">
        <v>32.15</v>
      </c>
      <c r="AC712" s="136">
        <v>32.15</v>
      </c>
      <c r="AD712" s="136"/>
      <c r="AE712" s="136"/>
      <c r="AF712" s="136"/>
      <c r="AG712" s="136"/>
      <c r="AH712" s="136"/>
      <c r="AI712" s="180" t="s">
        <v>1915</v>
      </c>
      <c r="AJ712" s="173"/>
      <c r="AK712" s="173"/>
      <c r="AL712" s="350"/>
      <c r="AM712" s="350"/>
      <c r="AN712" s="180" t="s">
        <v>3231</v>
      </c>
      <c r="AO712" s="180" t="s">
        <v>3233</v>
      </c>
      <c r="AP712" s="137" t="s">
        <v>3235</v>
      </c>
      <c r="AQ712" s="137" t="s">
        <v>37</v>
      </c>
      <c r="AR712" s="139">
        <v>44134</v>
      </c>
      <c r="AS712" s="137" t="s">
        <v>37</v>
      </c>
      <c r="AT712" s="358"/>
      <c r="AU712" s="1110"/>
    </row>
    <row r="713" spans="1:47" s="211" customFormat="1" ht="39" x14ac:dyDescent="0.25">
      <c r="A713" s="1046"/>
      <c r="B713" s="702"/>
      <c r="C713" s="213"/>
      <c r="D713" s="578"/>
      <c r="E713" s="578"/>
      <c r="F713" s="213"/>
      <c r="G713" s="214"/>
      <c r="H713" s="216"/>
      <c r="I713" s="1053"/>
      <c r="J713" s="215">
        <v>471</v>
      </c>
      <c r="K713" s="470" t="s">
        <v>3199</v>
      </c>
      <c r="L713" s="962">
        <v>1836784.6601</v>
      </c>
      <c r="M713" s="962">
        <v>5648337.5387000004</v>
      </c>
      <c r="N713" s="216"/>
      <c r="O713" s="216" t="s">
        <v>3207</v>
      </c>
      <c r="P713" s="216" t="s">
        <v>345</v>
      </c>
      <c r="Q713" s="216"/>
      <c r="R713" s="216"/>
      <c r="S713" s="216"/>
      <c r="T713" s="224" t="s">
        <v>5838</v>
      </c>
      <c r="U713" s="138" t="s">
        <v>10</v>
      </c>
      <c r="V713" s="136" t="s">
        <v>16</v>
      </c>
      <c r="W713" s="136" t="s">
        <v>16</v>
      </c>
      <c r="X713" s="132" t="s">
        <v>345</v>
      </c>
      <c r="Y713" s="132" t="s">
        <v>3211</v>
      </c>
      <c r="Z713" s="137" t="s">
        <v>1239</v>
      </c>
      <c r="AA713" s="439">
        <v>1</v>
      </c>
      <c r="AB713" s="132">
        <v>27</v>
      </c>
      <c r="AC713" s="136">
        <v>27</v>
      </c>
      <c r="AD713" s="136"/>
      <c r="AE713" s="136"/>
      <c r="AF713" s="136"/>
      <c r="AG713" s="136"/>
      <c r="AH713" s="136"/>
      <c r="AI713" s="180" t="s">
        <v>1915</v>
      </c>
      <c r="AJ713" s="173"/>
      <c r="AK713" s="173"/>
      <c r="AL713" s="350"/>
      <c r="AM713" s="350"/>
      <c r="AN713" s="180" t="s">
        <v>3232</v>
      </c>
      <c r="AO713" s="180" t="s">
        <v>3233</v>
      </c>
      <c r="AP713" s="137" t="s">
        <v>3235</v>
      </c>
      <c r="AQ713" s="137" t="s">
        <v>37</v>
      </c>
      <c r="AR713" s="139">
        <v>44134</v>
      </c>
      <c r="AS713" s="137" t="s">
        <v>37</v>
      </c>
      <c r="AT713" s="358"/>
      <c r="AU713" s="1110"/>
    </row>
    <row r="714" spans="1:47" s="211" customFormat="1" ht="39.75" thickBot="1" x14ac:dyDescent="0.3">
      <c r="A714" s="1046"/>
      <c r="B714" s="702"/>
      <c r="C714" s="213"/>
      <c r="D714" s="578"/>
      <c r="E714" s="578"/>
      <c r="F714" s="213"/>
      <c r="G714" s="214"/>
      <c r="H714" s="216"/>
      <c r="I714" s="1053"/>
      <c r="J714" s="215">
        <v>472</v>
      </c>
      <c r="K714" s="470" t="s">
        <v>6950</v>
      </c>
      <c r="L714" s="962">
        <v>1836669.4454999999</v>
      </c>
      <c r="M714" s="962">
        <v>5648462.5588999996</v>
      </c>
      <c r="N714" s="216"/>
      <c r="O714" s="216" t="s">
        <v>3208</v>
      </c>
      <c r="P714" s="216" t="s">
        <v>345</v>
      </c>
      <c r="Q714" s="216"/>
      <c r="R714" s="216"/>
      <c r="S714" s="216"/>
      <c r="T714" s="224" t="s">
        <v>5839</v>
      </c>
      <c r="U714" s="171" t="s">
        <v>10</v>
      </c>
      <c r="V714" s="154" t="s">
        <v>16</v>
      </c>
      <c r="W714" s="154" t="s">
        <v>16</v>
      </c>
      <c r="X714" s="156" t="s">
        <v>345</v>
      </c>
      <c r="Y714" s="156" t="s">
        <v>3212</v>
      </c>
      <c r="Z714" s="155" t="s">
        <v>1239</v>
      </c>
      <c r="AA714" s="441">
        <v>1</v>
      </c>
      <c r="AB714" s="156">
        <v>27</v>
      </c>
      <c r="AC714" s="154">
        <v>27</v>
      </c>
      <c r="AD714" s="154"/>
      <c r="AE714" s="154"/>
      <c r="AF714" s="154"/>
      <c r="AG714" s="154"/>
      <c r="AH714" s="154"/>
      <c r="AI714" s="183" t="s">
        <v>1915</v>
      </c>
      <c r="AJ714" s="201"/>
      <c r="AK714" s="201"/>
      <c r="AL714" s="443"/>
      <c r="AM714" s="443"/>
      <c r="AN714" s="183" t="s">
        <v>3232</v>
      </c>
      <c r="AO714" s="183" t="s">
        <v>3233</v>
      </c>
      <c r="AP714" s="155" t="s">
        <v>3235</v>
      </c>
      <c r="AQ714" s="155" t="s">
        <v>37</v>
      </c>
      <c r="AR714" s="172">
        <v>44134</v>
      </c>
      <c r="AS714" s="155" t="s">
        <v>37</v>
      </c>
      <c r="AT714" s="362"/>
      <c r="AU714" s="1111"/>
    </row>
    <row r="715" spans="1:47" s="211" customFormat="1" ht="26.25" x14ac:dyDescent="0.25">
      <c r="A715" s="1046"/>
      <c r="B715" s="702"/>
      <c r="C715" s="213"/>
      <c r="D715" s="578"/>
      <c r="E715" s="578"/>
      <c r="F715" s="213"/>
      <c r="G715" s="214"/>
      <c r="H715" s="216"/>
      <c r="I715" s="1053"/>
      <c r="J715" s="215">
        <v>473</v>
      </c>
      <c r="K715" s="470" t="s">
        <v>3200</v>
      </c>
      <c r="L715" s="962">
        <v>1837415.3415999999</v>
      </c>
      <c r="M715" s="962">
        <v>5649049.2773000002</v>
      </c>
      <c r="N715" s="216"/>
      <c r="O715" s="216" t="s">
        <v>3224</v>
      </c>
      <c r="P715" s="216" t="s">
        <v>345</v>
      </c>
      <c r="Q715" s="216"/>
      <c r="R715" s="216"/>
      <c r="S715" s="216"/>
      <c r="T715" s="224" t="s">
        <v>5840</v>
      </c>
      <c r="U715" s="138" t="s">
        <v>10</v>
      </c>
      <c r="V715" s="136" t="s">
        <v>16</v>
      </c>
      <c r="W715" s="136" t="s">
        <v>16</v>
      </c>
      <c r="X715" s="132" t="s">
        <v>345</v>
      </c>
      <c r="Y715" s="132" t="s">
        <v>3213</v>
      </c>
      <c r="Z715" s="137" t="s">
        <v>1239</v>
      </c>
      <c r="AA715" s="439">
        <v>1</v>
      </c>
      <c r="AB715" s="132" t="s">
        <v>3227</v>
      </c>
      <c r="AC715" s="136">
        <v>2.54</v>
      </c>
      <c r="AD715" s="136">
        <f>AC715-0.23</f>
        <v>2.31</v>
      </c>
      <c r="AE715" s="136">
        <f>AC715+0.23</f>
        <v>2.77</v>
      </c>
      <c r="AF715" s="136"/>
      <c r="AG715" s="136"/>
      <c r="AH715" s="136"/>
      <c r="AI715" s="180" t="s">
        <v>1915</v>
      </c>
      <c r="AJ715" s="173"/>
      <c r="AK715" s="173"/>
      <c r="AL715" s="350"/>
      <c r="AM715" s="350"/>
      <c r="AN715" s="180" t="s">
        <v>3231</v>
      </c>
      <c r="AO715" s="180" t="s">
        <v>3233</v>
      </c>
      <c r="AP715" s="137" t="s">
        <v>3235</v>
      </c>
      <c r="AQ715" s="137" t="s">
        <v>37</v>
      </c>
      <c r="AR715" s="139">
        <v>44134</v>
      </c>
      <c r="AS715" s="137" t="s">
        <v>37</v>
      </c>
      <c r="AT715" s="358"/>
      <c r="AU715" s="1110"/>
    </row>
    <row r="716" spans="1:47" s="211" customFormat="1" ht="39" x14ac:dyDescent="0.25">
      <c r="A716" s="1046"/>
      <c r="B716" s="702"/>
      <c r="C716" s="213"/>
      <c r="D716" s="578"/>
      <c r="E716" s="578"/>
      <c r="F716" s="213"/>
      <c r="G716" s="214"/>
      <c r="H716" s="216"/>
      <c r="I716" s="1053"/>
      <c r="J716" s="215">
        <v>474</v>
      </c>
      <c r="K716" s="470" t="s">
        <v>3201</v>
      </c>
      <c r="L716" s="962">
        <v>1837732.6978</v>
      </c>
      <c r="M716" s="962">
        <v>5649540.8762999997</v>
      </c>
      <c r="N716" s="216"/>
      <c r="O716" s="216" t="s">
        <v>3225</v>
      </c>
      <c r="P716" s="216" t="s">
        <v>345</v>
      </c>
      <c r="Q716" s="216"/>
      <c r="R716" s="216"/>
      <c r="S716" s="216"/>
      <c r="T716" s="224" t="s">
        <v>5841</v>
      </c>
      <c r="U716" s="138" t="s">
        <v>10</v>
      </c>
      <c r="V716" s="136" t="s">
        <v>16</v>
      </c>
      <c r="W716" s="136" t="s">
        <v>16</v>
      </c>
      <c r="X716" s="132" t="s">
        <v>345</v>
      </c>
      <c r="Y716" s="132" t="s">
        <v>3218</v>
      </c>
      <c r="Z716" s="137" t="s">
        <v>1239</v>
      </c>
      <c r="AA716" s="439">
        <v>1</v>
      </c>
      <c r="AB716" s="132">
        <v>55</v>
      </c>
      <c r="AC716" s="136">
        <v>55</v>
      </c>
      <c r="AD716" s="136"/>
      <c r="AE716" s="136"/>
      <c r="AF716" s="136"/>
      <c r="AG716" s="136"/>
      <c r="AH716" s="136"/>
      <c r="AI716" s="180" t="s">
        <v>1915</v>
      </c>
      <c r="AJ716" s="173"/>
      <c r="AK716" s="173"/>
      <c r="AL716" s="350"/>
      <c r="AM716" s="350"/>
      <c r="AN716" s="180" t="s">
        <v>3232</v>
      </c>
      <c r="AO716" s="180" t="s">
        <v>3233</v>
      </c>
      <c r="AP716" s="137" t="s">
        <v>3235</v>
      </c>
      <c r="AQ716" s="137" t="s">
        <v>37</v>
      </c>
      <c r="AR716" s="139">
        <v>44134</v>
      </c>
      <c r="AS716" s="137" t="s">
        <v>37</v>
      </c>
      <c r="AT716" s="358"/>
      <c r="AU716" s="1110"/>
    </row>
    <row r="717" spans="1:47" s="211" customFormat="1" ht="39" x14ac:dyDescent="0.25">
      <c r="A717" s="1046"/>
      <c r="B717" s="702"/>
      <c r="C717" s="213"/>
      <c r="D717" s="578"/>
      <c r="E717" s="578"/>
      <c r="F717" s="213"/>
      <c r="G717" s="214"/>
      <c r="H717" s="216"/>
      <c r="I717" s="1053"/>
      <c r="J717" s="215">
        <v>475</v>
      </c>
      <c r="K717" s="470" t="s">
        <v>3202</v>
      </c>
      <c r="L717" s="962">
        <v>1837826.8315000001</v>
      </c>
      <c r="M717" s="962">
        <v>5649813.9345000004</v>
      </c>
      <c r="N717" s="216"/>
      <c r="O717" s="216" t="s">
        <v>3222</v>
      </c>
      <c r="P717" s="216" t="s">
        <v>345</v>
      </c>
      <c r="Q717" s="216"/>
      <c r="R717" s="216"/>
      <c r="S717" s="216"/>
      <c r="T717" s="224" t="s">
        <v>5842</v>
      </c>
      <c r="U717" s="138" t="s">
        <v>10</v>
      </c>
      <c r="V717" s="136" t="s">
        <v>16</v>
      </c>
      <c r="W717" s="136" t="s">
        <v>16</v>
      </c>
      <c r="X717" s="132" t="s">
        <v>345</v>
      </c>
      <c r="Y717" s="132" t="s">
        <v>3221</v>
      </c>
      <c r="Z717" s="137" t="s">
        <v>1239</v>
      </c>
      <c r="AA717" s="439">
        <v>1</v>
      </c>
      <c r="AB717" s="132">
        <v>36.1</v>
      </c>
      <c r="AC717" s="136">
        <v>36.1</v>
      </c>
      <c r="AD717" s="136"/>
      <c r="AE717" s="136"/>
      <c r="AF717" s="136"/>
      <c r="AG717" s="136"/>
      <c r="AH717" s="136"/>
      <c r="AI717" s="180" t="s">
        <v>1915</v>
      </c>
      <c r="AJ717" s="173"/>
      <c r="AK717" s="173"/>
      <c r="AL717" s="350"/>
      <c r="AM717" s="350"/>
      <c r="AN717" s="180" t="s">
        <v>3232</v>
      </c>
      <c r="AO717" s="180" t="s">
        <v>3233</v>
      </c>
      <c r="AP717" s="137" t="s">
        <v>3235</v>
      </c>
      <c r="AQ717" s="137" t="s">
        <v>37</v>
      </c>
      <c r="AR717" s="139">
        <v>44134</v>
      </c>
      <c r="AS717" s="137" t="s">
        <v>37</v>
      </c>
      <c r="AT717" s="358"/>
      <c r="AU717" s="1110"/>
    </row>
    <row r="718" spans="1:47" s="211" customFormat="1" ht="39" x14ac:dyDescent="0.25">
      <c r="A718" s="1046"/>
      <c r="B718" s="702"/>
      <c r="C718" s="213"/>
      <c r="D718" s="578"/>
      <c r="E718" s="578"/>
      <c r="F718" s="213"/>
      <c r="G718" s="214"/>
      <c r="H718" s="216"/>
      <c r="I718" s="1053"/>
      <c r="J718" s="215">
        <v>476</v>
      </c>
      <c r="K718" s="470" t="s">
        <v>6951</v>
      </c>
      <c r="L718" s="962">
        <v>1839022.6949</v>
      </c>
      <c r="M718" s="962">
        <v>5651557.2391999997</v>
      </c>
      <c r="N718" s="216"/>
      <c r="O718" s="216" t="s">
        <v>3226</v>
      </c>
      <c r="P718" s="216" t="s">
        <v>345</v>
      </c>
      <c r="Q718" s="216"/>
      <c r="R718" s="216"/>
      <c r="S718" s="216"/>
      <c r="T718" s="224" t="s">
        <v>5843</v>
      </c>
      <c r="U718" s="138" t="s">
        <v>10</v>
      </c>
      <c r="V718" s="136" t="s">
        <v>16</v>
      </c>
      <c r="W718" s="136" t="s">
        <v>16</v>
      </c>
      <c r="X718" s="132" t="s">
        <v>345</v>
      </c>
      <c r="Y718" s="132" t="s">
        <v>3223</v>
      </c>
      <c r="Z718" s="137" t="s">
        <v>1239</v>
      </c>
      <c r="AA718" s="439">
        <v>1</v>
      </c>
      <c r="AB718" s="132" t="s">
        <v>3228</v>
      </c>
      <c r="AC718" s="136">
        <v>25.4</v>
      </c>
      <c r="AD718" s="136">
        <f>AC718-0.2</f>
        <v>25.2</v>
      </c>
      <c r="AE718" s="136">
        <f>AC718+0.2</f>
        <v>25.599999999999998</v>
      </c>
      <c r="AF718" s="136"/>
      <c r="AG718" s="136"/>
      <c r="AH718" s="136"/>
      <c r="AI718" s="180" t="s">
        <v>1915</v>
      </c>
      <c r="AJ718" s="173"/>
      <c r="AK718" s="173"/>
      <c r="AL718" s="350"/>
      <c r="AM718" s="350"/>
      <c r="AN718" s="180" t="s">
        <v>3232</v>
      </c>
      <c r="AO718" s="180" t="s">
        <v>3233</v>
      </c>
      <c r="AP718" s="137" t="s">
        <v>3235</v>
      </c>
      <c r="AQ718" s="137" t="s">
        <v>37</v>
      </c>
      <c r="AR718" s="139">
        <v>44134</v>
      </c>
      <c r="AS718" s="137" t="s">
        <v>37</v>
      </c>
      <c r="AT718" s="358"/>
      <c r="AU718" s="1110"/>
    </row>
    <row r="719" spans="1:47" s="211" customFormat="1" ht="26.25" x14ac:dyDescent="0.25">
      <c r="A719" s="1046"/>
      <c r="B719" s="702"/>
      <c r="C719" s="213"/>
      <c r="D719" s="578"/>
      <c r="E719" s="578"/>
      <c r="F719" s="213"/>
      <c r="G719" s="214"/>
      <c r="H719" s="216"/>
      <c r="I719" s="1053"/>
      <c r="J719" s="215">
        <v>477</v>
      </c>
      <c r="K719" s="470" t="s">
        <v>3214</v>
      </c>
      <c r="L719" s="962">
        <v>1837504.5438000001</v>
      </c>
      <c r="M719" s="962">
        <v>5649272.6957999999</v>
      </c>
      <c r="N719" s="216"/>
      <c r="O719" s="216" t="s">
        <v>3216</v>
      </c>
      <c r="P719" s="216" t="s">
        <v>345</v>
      </c>
      <c r="Q719" s="216"/>
      <c r="R719" s="216"/>
      <c r="S719" s="216"/>
      <c r="T719" s="224" t="s">
        <v>5844</v>
      </c>
      <c r="U719" s="138" t="s">
        <v>10</v>
      </c>
      <c r="V719" s="136" t="s">
        <v>16</v>
      </c>
      <c r="W719" s="136" t="s">
        <v>16</v>
      </c>
      <c r="X719" s="132" t="s">
        <v>345</v>
      </c>
      <c r="Y719" s="132" t="s">
        <v>3219</v>
      </c>
      <c r="Z719" s="137" t="s">
        <v>1239</v>
      </c>
      <c r="AA719" s="439">
        <v>1</v>
      </c>
      <c r="AB719" s="132" t="s">
        <v>1637</v>
      </c>
      <c r="AC719" s="136"/>
      <c r="AD719" s="136">
        <v>45</v>
      </c>
      <c r="AE719" s="136"/>
      <c r="AF719" s="136"/>
      <c r="AG719" s="136"/>
      <c r="AH719" s="136"/>
      <c r="AI719" s="180" t="s">
        <v>1915</v>
      </c>
      <c r="AJ719" s="173"/>
      <c r="AK719" s="173"/>
      <c r="AL719" s="350"/>
      <c r="AM719" s="350"/>
      <c r="AN719" s="180" t="s">
        <v>3231</v>
      </c>
      <c r="AO719" s="180" t="s">
        <v>3233</v>
      </c>
      <c r="AP719" s="137" t="s">
        <v>3235</v>
      </c>
      <c r="AQ719" s="137" t="s">
        <v>37</v>
      </c>
      <c r="AR719" s="139">
        <v>44134</v>
      </c>
      <c r="AS719" s="137" t="s">
        <v>37</v>
      </c>
      <c r="AT719" s="358"/>
      <c r="AU719" s="1110"/>
    </row>
    <row r="720" spans="1:47" s="211" customFormat="1" ht="27" thickBot="1" x14ac:dyDescent="0.3">
      <c r="A720" s="1048"/>
      <c r="B720" s="1049"/>
      <c r="C720" s="220"/>
      <c r="D720" s="579"/>
      <c r="E720" s="579"/>
      <c r="F720" s="220"/>
      <c r="G720" s="221"/>
      <c r="H720" s="223"/>
      <c r="I720" s="1054"/>
      <c r="J720" s="222">
        <v>478</v>
      </c>
      <c r="K720" s="471" t="s">
        <v>3215</v>
      </c>
      <c r="L720" s="963">
        <v>1837841.7604</v>
      </c>
      <c r="M720" s="963">
        <v>5649754.3810000001</v>
      </c>
      <c r="N720" s="223"/>
      <c r="O720" s="223" t="s">
        <v>3217</v>
      </c>
      <c r="P720" s="223" t="s">
        <v>345</v>
      </c>
      <c r="Q720" s="223"/>
      <c r="R720" s="223"/>
      <c r="S720" s="223"/>
      <c r="T720" s="225" t="s">
        <v>5845</v>
      </c>
      <c r="U720" s="171" t="s">
        <v>10</v>
      </c>
      <c r="V720" s="154" t="s">
        <v>16</v>
      </c>
      <c r="W720" s="154" t="s">
        <v>16</v>
      </c>
      <c r="X720" s="156" t="s">
        <v>345</v>
      </c>
      <c r="Y720" s="156" t="s">
        <v>3220</v>
      </c>
      <c r="Z720" s="155" t="s">
        <v>1239</v>
      </c>
      <c r="AA720" s="441">
        <v>1</v>
      </c>
      <c r="AB720" s="156" t="s">
        <v>3229</v>
      </c>
      <c r="AC720" s="154"/>
      <c r="AD720" s="154">
        <v>133</v>
      </c>
      <c r="AE720" s="154"/>
      <c r="AF720" s="154"/>
      <c r="AG720" s="154"/>
      <c r="AH720" s="154"/>
      <c r="AI720" s="183" t="s">
        <v>1915</v>
      </c>
      <c r="AJ720" s="201"/>
      <c r="AK720" s="201"/>
      <c r="AL720" s="443"/>
      <c r="AM720" s="443"/>
      <c r="AN720" s="183" t="s">
        <v>3231</v>
      </c>
      <c r="AO720" s="183" t="s">
        <v>3233</v>
      </c>
      <c r="AP720" s="155" t="s">
        <v>3235</v>
      </c>
      <c r="AQ720" s="155" t="s">
        <v>37</v>
      </c>
      <c r="AR720" s="172">
        <v>44134</v>
      </c>
      <c r="AS720" s="155" t="s">
        <v>37</v>
      </c>
      <c r="AT720" s="362"/>
      <c r="AU720" s="1111"/>
    </row>
    <row r="721" spans="1:47" ht="64.5" x14ac:dyDescent="0.25">
      <c r="A721" s="339" t="s">
        <v>4</v>
      </c>
      <c r="B721" s="116" t="s">
        <v>51</v>
      </c>
      <c r="C721" s="95">
        <v>567</v>
      </c>
      <c r="D721" s="567" t="s">
        <v>52</v>
      </c>
      <c r="E721" s="567" t="s">
        <v>53</v>
      </c>
      <c r="F721" s="95" t="s">
        <v>155</v>
      </c>
      <c r="G721" s="146" t="s">
        <v>1973</v>
      </c>
      <c r="H721" s="108" t="s">
        <v>151</v>
      </c>
      <c r="I721" s="122" t="s">
        <v>150</v>
      </c>
      <c r="J721" s="191">
        <v>1</v>
      </c>
      <c r="K721" s="359">
        <v>2</v>
      </c>
      <c r="L721" s="913">
        <v>1685350</v>
      </c>
      <c r="M721" s="913">
        <v>5390752.9999700002</v>
      </c>
      <c r="N721" s="108">
        <v>42</v>
      </c>
      <c r="O721" s="108" t="s">
        <v>7</v>
      </c>
      <c r="P721" s="108" t="s">
        <v>6</v>
      </c>
      <c r="Q721" s="108"/>
      <c r="R721" s="108"/>
      <c r="S721" s="108"/>
      <c r="T721" s="184" t="s">
        <v>479</v>
      </c>
      <c r="U721" s="102" t="s">
        <v>10</v>
      </c>
      <c r="V721" s="24" t="s">
        <v>16</v>
      </c>
      <c r="W721" s="24" t="s">
        <v>16</v>
      </c>
      <c r="X721" s="117" t="s">
        <v>17</v>
      </c>
      <c r="Y721" s="117" t="s">
        <v>18</v>
      </c>
      <c r="Z721" s="46" t="s">
        <v>25</v>
      </c>
      <c r="AA721" s="117" t="s">
        <v>419</v>
      </c>
      <c r="AB721" s="24" t="s">
        <v>11</v>
      </c>
      <c r="AC721" s="24">
        <v>21</v>
      </c>
      <c r="AD721" s="24">
        <v>18</v>
      </c>
      <c r="AE721" s="24">
        <v>24</v>
      </c>
      <c r="AF721" s="24"/>
      <c r="AG721" s="351"/>
      <c r="AH721" s="351"/>
      <c r="AI721" s="45" t="s">
        <v>256</v>
      </c>
      <c r="AJ721" s="103" t="s">
        <v>13</v>
      </c>
      <c r="AK721" s="103"/>
      <c r="AL721" s="351"/>
      <c r="AM721" s="351"/>
      <c r="AN721" s="46" t="s">
        <v>160</v>
      </c>
      <c r="AO721" s="46" t="s">
        <v>182</v>
      </c>
      <c r="AP721" s="46" t="s">
        <v>14</v>
      </c>
      <c r="AQ721" s="46" t="s">
        <v>37</v>
      </c>
      <c r="AR721" s="47">
        <v>43957</v>
      </c>
      <c r="AS721" s="46" t="s">
        <v>37</v>
      </c>
      <c r="AT721" s="365"/>
      <c r="AU721" s="1107"/>
    </row>
    <row r="722" spans="1:47" ht="65.25" thickBot="1" x14ac:dyDescent="0.3">
      <c r="A722" s="336"/>
      <c r="B722" s="196"/>
      <c r="C722" s="96"/>
      <c r="D722" s="566"/>
      <c r="E722" s="566"/>
      <c r="F722" s="96"/>
      <c r="G722" s="147"/>
      <c r="H722" s="107"/>
      <c r="I722" s="123"/>
      <c r="J722" s="190">
        <v>2</v>
      </c>
      <c r="K722" s="357">
        <v>7</v>
      </c>
      <c r="L722" s="912">
        <v>1686050.0317500001</v>
      </c>
      <c r="M722" s="912">
        <v>5392467.0732199997</v>
      </c>
      <c r="N722" s="107">
        <v>50</v>
      </c>
      <c r="O722" s="107" t="s">
        <v>15</v>
      </c>
      <c r="P722" s="107" t="s">
        <v>6</v>
      </c>
      <c r="Q722" s="107"/>
      <c r="R722" s="107"/>
      <c r="S722" s="107"/>
      <c r="T722" s="127" t="s">
        <v>480</v>
      </c>
      <c r="U722" s="104" t="s">
        <v>10</v>
      </c>
      <c r="V722" s="25" t="s">
        <v>16</v>
      </c>
      <c r="W722" s="25" t="s">
        <v>16</v>
      </c>
      <c r="X722" s="120" t="s">
        <v>17</v>
      </c>
      <c r="Y722" s="120" t="s">
        <v>19</v>
      </c>
      <c r="Z722" s="52" t="s">
        <v>25</v>
      </c>
      <c r="AA722" s="120" t="s">
        <v>419</v>
      </c>
      <c r="AB722" s="25" t="s">
        <v>11</v>
      </c>
      <c r="AC722" s="25">
        <v>21</v>
      </c>
      <c r="AD722" s="25">
        <v>18</v>
      </c>
      <c r="AE722" s="25">
        <v>24</v>
      </c>
      <c r="AF722" s="25"/>
      <c r="AG722" s="386"/>
      <c r="AH722" s="386"/>
      <c r="AI722" s="51" t="s">
        <v>256</v>
      </c>
      <c r="AJ722" s="105" t="s">
        <v>13</v>
      </c>
      <c r="AK722" s="105"/>
      <c r="AL722" s="386"/>
      <c r="AM722" s="386"/>
      <c r="AN722" s="52" t="s">
        <v>161</v>
      </c>
      <c r="AO722" s="52"/>
      <c r="AP722" s="52" t="s">
        <v>14</v>
      </c>
      <c r="AQ722" s="52" t="s">
        <v>37</v>
      </c>
      <c r="AR722" s="53">
        <v>43957</v>
      </c>
      <c r="AS722" s="52" t="s">
        <v>37</v>
      </c>
      <c r="AT722" s="367"/>
      <c r="AU722" s="653"/>
    </row>
    <row r="723" spans="1:47" ht="90" x14ac:dyDescent="0.25">
      <c r="A723" s="487" t="s">
        <v>4</v>
      </c>
      <c r="B723" s="128" t="s">
        <v>54</v>
      </c>
      <c r="C723" s="72">
        <v>566</v>
      </c>
      <c r="D723" s="586" t="s">
        <v>53</v>
      </c>
      <c r="E723" s="586"/>
      <c r="F723" s="72" t="s">
        <v>152</v>
      </c>
      <c r="G723" s="140" t="s">
        <v>1974</v>
      </c>
      <c r="H723" s="129" t="s">
        <v>151</v>
      </c>
      <c r="I723" s="381" t="s">
        <v>150</v>
      </c>
      <c r="J723" s="187">
        <v>3</v>
      </c>
      <c r="K723" s="73" t="s">
        <v>32</v>
      </c>
      <c r="L723" s="914">
        <v>1689691</v>
      </c>
      <c r="M723" s="914">
        <v>5398180.9999599997</v>
      </c>
      <c r="N723" s="129">
        <v>95</v>
      </c>
      <c r="O723" s="129" t="s">
        <v>20</v>
      </c>
      <c r="P723" s="129" t="s">
        <v>6</v>
      </c>
      <c r="Q723" s="129"/>
      <c r="R723" s="129"/>
      <c r="S723" s="129"/>
      <c r="T723" s="266" t="s">
        <v>481</v>
      </c>
      <c r="U723" s="102" t="s">
        <v>10</v>
      </c>
      <c r="V723" s="24" t="s">
        <v>10</v>
      </c>
      <c r="W723" s="24" t="s">
        <v>16</v>
      </c>
      <c r="X723" s="117" t="s">
        <v>17</v>
      </c>
      <c r="Y723" s="117" t="s">
        <v>21</v>
      </c>
      <c r="Z723" s="46" t="s">
        <v>26</v>
      </c>
      <c r="AA723" s="117" t="s">
        <v>419</v>
      </c>
      <c r="AB723" s="24" t="s">
        <v>22</v>
      </c>
      <c r="AC723" s="24">
        <v>119</v>
      </c>
      <c r="AD723" s="24">
        <v>98</v>
      </c>
      <c r="AE723" s="24">
        <v>140</v>
      </c>
      <c r="AF723" s="24"/>
      <c r="AG723" s="351"/>
      <c r="AH723" s="351"/>
      <c r="AI723" s="45" t="s">
        <v>23</v>
      </c>
      <c r="AJ723" s="103" t="s">
        <v>13</v>
      </c>
      <c r="AK723" s="103"/>
      <c r="AL723" s="351"/>
      <c r="AM723" s="351"/>
      <c r="AN723" s="46" t="s">
        <v>162</v>
      </c>
      <c r="AO723" s="46" t="s">
        <v>165</v>
      </c>
      <c r="AP723" s="46" t="s">
        <v>14</v>
      </c>
      <c r="AQ723" s="46" t="s">
        <v>37</v>
      </c>
      <c r="AR723" s="47">
        <v>43957</v>
      </c>
      <c r="AS723" s="46" t="s">
        <v>37</v>
      </c>
      <c r="AT723" s="365"/>
      <c r="AU723" s="1107"/>
    </row>
    <row r="724" spans="1:47" ht="78" thickBot="1" x14ac:dyDescent="0.3">
      <c r="A724" s="489"/>
      <c r="B724" s="133"/>
      <c r="C724" s="78"/>
      <c r="D724" s="569"/>
      <c r="E724" s="569"/>
      <c r="F724" s="78"/>
      <c r="G724" s="144"/>
      <c r="H724" s="119"/>
      <c r="I724" s="429"/>
      <c r="J724" s="192">
        <v>4</v>
      </c>
      <c r="K724" s="79" t="s">
        <v>27</v>
      </c>
      <c r="L724" s="916">
        <v>1690022.83329</v>
      </c>
      <c r="M724" s="916">
        <v>5398338.8332700003</v>
      </c>
      <c r="N724" s="119">
        <v>81</v>
      </c>
      <c r="O724" s="119" t="s">
        <v>31</v>
      </c>
      <c r="P724" s="119" t="s">
        <v>6</v>
      </c>
      <c r="Q724" s="119"/>
      <c r="R724" s="119"/>
      <c r="S724" s="119"/>
      <c r="T724" s="267" t="s">
        <v>159</v>
      </c>
      <c r="U724" s="102" t="s">
        <v>10</v>
      </c>
      <c r="V724" s="24" t="s">
        <v>10</v>
      </c>
      <c r="W724" s="24" t="s">
        <v>16</v>
      </c>
      <c r="X724" s="117" t="s">
        <v>17</v>
      </c>
      <c r="Y724" s="117" t="s">
        <v>28</v>
      </c>
      <c r="Z724" s="46" t="s">
        <v>24</v>
      </c>
      <c r="AA724" s="117" t="s">
        <v>419</v>
      </c>
      <c r="AB724" s="24" t="s">
        <v>29</v>
      </c>
      <c r="AC724" s="24">
        <v>30</v>
      </c>
      <c r="AD724" s="24">
        <v>25</v>
      </c>
      <c r="AE724" s="24">
        <v>35</v>
      </c>
      <c r="AF724" s="24"/>
      <c r="AG724" s="351"/>
      <c r="AH724" s="351"/>
      <c r="AI724" s="45" t="s">
        <v>23</v>
      </c>
      <c r="AJ724" s="103" t="s">
        <v>13</v>
      </c>
      <c r="AK724" s="103"/>
      <c r="AL724" s="351"/>
      <c r="AM724" s="351"/>
      <c r="AN724" s="46" t="s">
        <v>163</v>
      </c>
      <c r="AO724" s="46" t="s">
        <v>165</v>
      </c>
      <c r="AP724" s="46" t="s">
        <v>14</v>
      </c>
      <c r="AQ724" s="46" t="s">
        <v>37</v>
      </c>
      <c r="AR724" s="47">
        <v>43957</v>
      </c>
      <c r="AS724" s="46" t="s">
        <v>37</v>
      </c>
      <c r="AT724" s="365"/>
      <c r="AU724" s="1107"/>
    </row>
    <row r="725" spans="1:47" ht="52.5" thickBot="1" x14ac:dyDescent="0.3">
      <c r="A725" s="341" t="s">
        <v>5582</v>
      </c>
      <c r="B725" s="181" t="s">
        <v>5235</v>
      </c>
      <c r="C725" s="125">
        <v>315</v>
      </c>
      <c r="D725" s="585" t="s">
        <v>53</v>
      </c>
      <c r="E725" s="585" t="s">
        <v>52</v>
      </c>
      <c r="F725" s="125" t="s">
        <v>567</v>
      </c>
      <c r="G725" s="125" t="s">
        <v>405</v>
      </c>
      <c r="H725" s="126" t="s">
        <v>5583</v>
      </c>
      <c r="I725" s="247" t="s">
        <v>5584</v>
      </c>
      <c r="J725" s="552">
        <v>2360</v>
      </c>
      <c r="K725" s="396" t="s">
        <v>5236</v>
      </c>
      <c r="L725" s="908">
        <v>1862396.0103</v>
      </c>
      <c r="M725" s="908">
        <v>5520045.3766000001</v>
      </c>
      <c r="N725" s="109">
        <v>50</v>
      </c>
      <c r="O725" s="109" t="s">
        <v>5237</v>
      </c>
      <c r="P725" s="109" t="s">
        <v>5</v>
      </c>
      <c r="Q725" s="296"/>
      <c r="R725" s="296"/>
      <c r="S725" s="296"/>
      <c r="T725" s="295" t="s">
        <v>5846</v>
      </c>
      <c r="U725" s="294" t="s">
        <v>16</v>
      </c>
      <c r="V725" s="197" t="s">
        <v>85</v>
      </c>
      <c r="W725" s="86" t="s">
        <v>16</v>
      </c>
      <c r="X725" s="197" t="s">
        <v>61</v>
      </c>
      <c r="Y725" s="307" t="s">
        <v>5238</v>
      </c>
      <c r="Z725" s="92" t="s">
        <v>5239</v>
      </c>
      <c r="AA725" s="197">
        <v>2</v>
      </c>
      <c r="AB725" s="307" t="s">
        <v>5156</v>
      </c>
      <c r="AC725" s="197">
        <v>12</v>
      </c>
      <c r="AD725" s="197"/>
      <c r="AE725" s="197"/>
      <c r="AF725" s="197">
        <v>10</v>
      </c>
      <c r="AG725" s="197"/>
      <c r="AH725" s="197"/>
      <c r="AI725" s="94" t="s">
        <v>256</v>
      </c>
      <c r="AJ725" s="197" t="s">
        <v>3459</v>
      </c>
      <c r="AK725" s="197"/>
      <c r="AL725" s="197"/>
      <c r="AM725" s="197"/>
      <c r="AN725" s="92" t="s">
        <v>5847</v>
      </c>
      <c r="AO725" s="292" t="s">
        <v>5157</v>
      </c>
      <c r="AP725" s="92" t="s">
        <v>1462</v>
      </c>
      <c r="AQ725" s="92" t="s">
        <v>3457</v>
      </c>
      <c r="AR725" s="93">
        <v>44243</v>
      </c>
      <c r="AS725" s="92" t="s">
        <v>3457</v>
      </c>
      <c r="AT725" s="291">
        <v>44270</v>
      </c>
      <c r="AU725" s="290" t="s">
        <v>37</v>
      </c>
    </row>
    <row r="726" spans="1:47" ht="27" thickBot="1" x14ac:dyDescent="0.3">
      <c r="A726" s="339"/>
      <c r="B726" s="116"/>
      <c r="C726" s="95"/>
      <c r="D726" s="567"/>
      <c r="E726" s="567"/>
      <c r="F726" s="95"/>
      <c r="G726" s="95"/>
      <c r="H726" s="108"/>
      <c r="I726" s="122"/>
      <c r="J726" s="552">
        <v>2361</v>
      </c>
      <c r="K726" s="396" t="s">
        <v>5240</v>
      </c>
      <c r="L726" s="908">
        <v>1862335.2056</v>
      </c>
      <c r="M726" s="908">
        <v>5520045.3766000001</v>
      </c>
      <c r="N726" s="109">
        <v>50</v>
      </c>
      <c r="O726" s="109" t="s">
        <v>4680</v>
      </c>
      <c r="P726" s="109" t="s">
        <v>5</v>
      </c>
      <c r="Q726" s="296"/>
      <c r="R726" s="296"/>
      <c r="S726" s="296"/>
      <c r="T726" s="295" t="s">
        <v>2853</v>
      </c>
      <c r="U726" s="294" t="s">
        <v>85</v>
      </c>
      <c r="V726" s="197" t="s">
        <v>85</v>
      </c>
      <c r="W726" s="86" t="s">
        <v>16</v>
      </c>
      <c r="X726" s="197" t="s">
        <v>61</v>
      </c>
      <c r="Y726" s="307" t="s">
        <v>5241</v>
      </c>
      <c r="Z726" s="92" t="s">
        <v>5174</v>
      </c>
      <c r="AA726" s="197">
        <v>1</v>
      </c>
      <c r="AB726" s="307" t="s">
        <v>5156</v>
      </c>
      <c r="AC726" s="197">
        <v>12</v>
      </c>
      <c r="AD726" s="197"/>
      <c r="AE726" s="197"/>
      <c r="AF726" s="197">
        <v>10</v>
      </c>
      <c r="AG726" s="197"/>
      <c r="AH726" s="197"/>
      <c r="AI726" s="94" t="s">
        <v>256</v>
      </c>
      <c r="AJ726" s="197" t="s">
        <v>3459</v>
      </c>
      <c r="AK726" s="197"/>
      <c r="AL726" s="197"/>
      <c r="AM726" s="197"/>
      <c r="AN726" s="92" t="s">
        <v>5848</v>
      </c>
      <c r="AO726" s="292" t="s">
        <v>5157</v>
      </c>
      <c r="AP726" s="92" t="s">
        <v>1462</v>
      </c>
      <c r="AQ726" s="92" t="s">
        <v>3457</v>
      </c>
      <c r="AR726" s="93">
        <v>44243</v>
      </c>
      <c r="AS726" s="92" t="s">
        <v>3457</v>
      </c>
      <c r="AT726" s="291">
        <v>44270</v>
      </c>
      <c r="AU726" s="290" t="s">
        <v>37</v>
      </c>
    </row>
    <row r="727" spans="1:47" ht="39.75" thickBot="1" x14ac:dyDescent="0.3">
      <c r="A727" s="339"/>
      <c r="B727" s="116"/>
      <c r="C727" s="95"/>
      <c r="D727" s="567"/>
      <c r="E727" s="567"/>
      <c r="F727" s="95"/>
      <c r="G727" s="95"/>
      <c r="H727" s="108"/>
      <c r="I727" s="122"/>
      <c r="J727" s="623">
        <v>2362</v>
      </c>
      <c r="K727" s="355" t="s">
        <v>5242</v>
      </c>
      <c r="L727" s="897">
        <v>1862665.5974000001</v>
      </c>
      <c r="M727" s="897">
        <v>5520420.4543000003</v>
      </c>
      <c r="N727" s="126">
        <v>50</v>
      </c>
      <c r="O727" s="126" t="s">
        <v>3468</v>
      </c>
      <c r="P727" s="126" t="s">
        <v>194</v>
      </c>
      <c r="Q727" s="255"/>
      <c r="R727" s="255"/>
      <c r="S727" s="255"/>
      <c r="T727" s="289" t="s">
        <v>1496</v>
      </c>
      <c r="U727" s="294" t="s">
        <v>16</v>
      </c>
      <c r="V727" s="197" t="s">
        <v>85</v>
      </c>
      <c r="W727" s="86" t="s">
        <v>16</v>
      </c>
      <c r="X727" s="197" t="s">
        <v>194</v>
      </c>
      <c r="Y727" s="307" t="s">
        <v>1463</v>
      </c>
      <c r="Z727" s="92" t="s">
        <v>5243</v>
      </c>
      <c r="AA727" s="197">
        <v>2</v>
      </c>
      <c r="AB727" s="307" t="s">
        <v>5156</v>
      </c>
      <c r="AC727" s="197">
        <v>12</v>
      </c>
      <c r="AD727" s="197"/>
      <c r="AE727" s="197"/>
      <c r="AF727" s="197">
        <v>10</v>
      </c>
      <c r="AG727" s="197"/>
      <c r="AH727" s="197"/>
      <c r="AI727" s="94" t="s">
        <v>256</v>
      </c>
      <c r="AJ727" s="197" t="s">
        <v>3459</v>
      </c>
      <c r="AK727" s="197"/>
      <c r="AL727" s="197"/>
      <c r="AM727" s="197"/>
      <c r="AN727" s="92" t="s">
        <v>5849</v>
      </c>
      <c r="AO727" s="292" t="s">
        <v>5157</v>
      </c>
      <c r="AP727" s="92" t="s">
        <v>1462</v>
      </c>
      <c r="AQ727" s="92" t="s">
        <v>3457</v>
      </c>
      <c r="AR727" s="93">
        <v>44243</v>
      </c>
      <c r="AS727" s="92" t="s">
        <v>3457</v>
      </c>
      <c r="AT727" s="291">
        <v>44270</v>
      </c>
      <c r="AU727" s="290" t="s">
        <v>37</v>
      </c>
    </row>
    <row r="728" spans="1:47" ht="39.75" thickBot="1" x14ac:dyDescent="0.3">
      <c r="A728" s="648" t="s">
        <v>5582</v>
      </c>
      <c r="B728" s="598" t="s">
        <v>5582</v>
      </c>
      <c r="C728" s="248">
        <v>314</v>
      </c>
      <c r="D728" s="595" t="s">
        <v>53</v>
      </c>
      <c r="E728" s="595" t="s">
        <v>52</v>
      </c>
      <c r="F728" s="248" t="s">
        <v>567</v>
      </c>
      <c r="G728" s="249" t="s">
        <v>1972</v>
      </c>
      <c r="H728" s="426" t="s">
        <v>5583</v>
      </c>
      <c r="I728" s="634" t="s">
        <v>6825</v>
      </c>
      <c r="J728" s="710">
        <v>2363</v>
      </c>
      <c r="K728" s="472" t="s">
        <v>5244</v>
      </c>
      <c r="L728" s="917">
        <v>1868055.8824</v>
      </c>
      <c r="M728" s="917">
        <v>5530400.3685999997</v>
      </c>
      <c r="N728" s="426">
        <v>25</v>
      </c>
      <c r="O728" s="426" t="s">
        <v>5228</v>
      </c>
      <c r="P728" s="426" t="s">
        <v>194</v>
      </c>
      <c r="Q728" s="484"/>
      <c r="R728" s="484"/>
      <c r="S728" s="484"/>
      <c r="T728" s="536" t="s">
        <v>5245</v>
      </c>
      <c r="U728" s="294" t="s">
        <v>16</v>
      </c>
      <c r="V728" s="197" t="s">
        <v>85</v>
      </c>
      <c r="W728" s="86" t="s">
        <v>16</v>
      </c>
      <c r="X728" s="197" t="s">
        <v>194</v>
      </c>
      <c r="Y728" s="307" t="s">
        <v>5246</v>
      </c>
      <c r="Z728" s="92" t="s">
        <v>5247</v>
      </c>
      <c r="AA728" s="197">
        <v>2</v>
      </c>
      <c r="AB728" s="307" t="s">
        <v>5156</v>
      </c>
      <c r="AC728" s="197">
        <v>12</v>
      </c>
      <c r="AD728" s="197"/>
      <c r="AE728" s="197"/>
      <c r="AF728" s="197">
        <v>10</v>
      </c>
      <c r="AG728" s="197"/>
      <c r="AH728" s="197"/>
      <c r="AI728" s="94" t="s">
        <v>256</v>
      </c>
      <c r="AJ728" s="197" t="s">
        <v>3459</v>
      </c>
      <c r="AK728" s="197"/>
      <c r="AL728" s="197"/>
      <c r="AM728" s="197"/>
      <c r="AN728" s="92" t="s">
        <v>5850</v>
      </c>
      <c r="AO728" s="292" t="s">
        <v>5157</v>
      </c>
      <c r="AP728" s="92" t="s">
        <v>1462</v>
      </c>
      <c r="AQ728" s="92" t="s">
        <v>3457</v>
      </c>
      <c r="AR728" s="93">
        <v>44243</v>
      </c>
      <c r="AS728" s="92" t="s">
        <v>3457</v>
      </c>
      <c r="AT728" s="291">
        <v>44270</v>
      </c>
      <c r="AU728" s="290" t="s">
        <v>37</v>
      </c>
    </row>
    <row r="729" spans="1:47" s="135" customFormat="1" ht="78" thickBot="1" x14ac:dyDescent="0.3">
      <c r="A729" s="487" t="s">
        <v>1905</v>
      </c>
      <c r="B729" s="128" t="s">
        <v>1905</v>
      </c>
      <c r="C729" s="72">
        <v>249</v>
      </c>
      <c r="D729" s="586" t="s">
        <v>57</v>
      </c>
      <c r="E729" s="586"/>
      <c r="F729" s="72" t="s">
        <v>4679</v>
      </c>
      <c r="G729" s="140" t="s">
        <v>1238</v>
      </c>
      <c r="H729" s="129" t="s">
        <v>5941</v>
      </c>
      <c r="I729" s="121" t="s">
        <v>5887</v>
      </c>
      <c r="J729" s="83">
        <v>259</v>
      </c>
      <c r="K729" s="360" t="s">
        <v>1906</v>
      </c>
      <c r="L729" s="198">
        <v>1827568.2328999999</v>
      </c>
      <c r="M729" s="198">
        <v>5643543.6871999996</v>
      </c>
      <c r="N729" s="199"/>
      <c r="O729" s="199" t="s">
        <v>1907</v>
      </c>
      <c r="P729" s="199" t="s">
        <v>193</v>
      </c>
      <c r="Q729" s="199"/>
      <c r="R729" s="199"/>
      <c r="S729" s="199"/>
      <c r="T729" s="332" t="s">
        <v>2268</v>
      </c>
      <c r="U729" s="206" t="s">
        <v>85</v>
      </c>
      <c r="V729" s="204" t="s">
        <v>85</v>
      </c>
      <c r="W729" s="204" t="s">
        <v>85</v>
      </c>
      <c r="X729" s="176" t="s">
        <v>194</v>
      </c>
      <c r="Y729" s="176" t="s">
        <v>1375</v>
      </c>
      <c r="Z729" s="208" t="s">
        <v>1908</v>
      </c>
      <c r="AA729" s="176">
        <v>2</v>
      </c>
      <c r="AB729" s="204" t="s">
        <v>1263</v>
      </c>
      <c r="AC729" s="204">
        <v>90</v>
      </c>
      <c r="AD729" s="204">
        <v>70</v>
      </c>
      <c r="AE729" s="204">
        <v>110</v>
      </c>
      <c r="AF729" s="204"/>
      <c r="AG729" s="353"/>
      <c r="AH729" s="353"/>
      <c r="AI729" s="207" t="s">
        <v>256</v>
      </c>
      <c r="AJ729" s="205"/>
      <c r="AK729" s="205"/>
      <c r="AL729" s="353"/>
      <c r="AM729" s="353"/>
      <c r="AN729" s="94" t="s">
        <v>1909</v>
      </c>
      <c r="AO729" s="94" t="s">
        <v>6952</v>
      </c>
      <c r="AP729" s="208" t="s">
        <v>1068</v>
      </c>
      <c r="AQ729" s="208" t="s">
        <v>37</v>
      </c>
      <c r="AR729" s="209">
        <v>44103</v>
      </c>
      <c r="AS729" s="208" t="s">
        <v>37</v>
      </c>
      <c r="AT729" s="364"/>
      <c r="AU729" s="1109"/>
    </row>
    <row r="730" spans="1:47" s="135" customFormat="1" ht="26.25" x14ac:dyDescent="0.25">
      <c r="A730" s="488"/>
      <c r="B730" s="131"/>
      <c r="C730" s="75"/>
      <c r="D730" s="568"/>
      <c r="E730" s="568"/>
      <c r="F730" s="75"/>
      <c r="G730" s="143"/>
      <c r="H730" s="118"/>
      <c r="I730" s="121"/>
      <c r="J730" s="72">
        <v>479</v>
      </c>
      <c r="K730" s="73" t="s">
        <v>1969</v>
      </c>
      <c r="L730" s="914">
        <v>1827892.2429</v>
      </c>
      <c r="M730" s="914">
        <v>5643742.8077999996</v>
      </c>
      <c r="N730" s="129"/>
      <c r="O730" s="129" t="s">
        <v>3239</v>
      </c>
      <c r="P730" s="129" t="s">
        <v>345</v>
      </c>
      <c r="Q730" s="129"/>
      <c r="R730" s="129"/>
      <c r="S730" s="129"/>
      <c r="T730" s="129" t="s">
        <v>9221</v>
      </c>
      <c r="U730" s="169" t="s">
        <v>10</v>
      </c>
      <c r="V730" s="151" t="s">
        <v>16</v>
      </c>
      <c r="W730" s="151" t="s">
        <v>16</v>
      </c>
      <c r="X730" s="153" t="s">
        <v>345</v>
      </c>
      <c r="Y730" s="153" t="s">
        <v>3240</v>
      </c>
      <c r="Z730" s="152" t="s">
        <v>1239</v>
      </c>
      <c r="AA730" s="440">
        <v>1</v>
      </c>
      <c r="AB730" s="151">
        <v>11.77</v>
      </c>
      <c r="AC730" s="151">
        <v>11.77</v>
      </c>
      <c r="AD730" s="151"/>
      <c r="AE730" s="151"/>
      <c r="AF730" s="151"/>
      <c r="AG730" s="442"/>
      <c r="AH730" s="442"/>
      <c r="AI730" s="203" t="s">
        <v>1915</v>
      </c>
      <c r="AJ730" s="202"/>
      <c r="AK730" s="202"/>
      <c r="AL730" s="442"/>
      <c r="AM730" s="442"/>
      <c r="AN730" s="152" t="s">
        <v>3231</v>
      </c>
      <c r="AO730" s="152" t="s">
        <v>3233</v>
      </c>
      <c r="AP730" s="137" t="s">
        <v>3235</v>
      </c>
      <c r="AQ730" s="137" t="s">
        <v>37</v>
      </c>
      <c r="AR730" s="139">
        <v>44134</v>
      </c>
      <c r="AS730" s="137" t="s">
        <v>37</v>
      </c>
      <c r="AT730" s="361"/>
      <c r="AU730" s="1112"/>
    </row>
    <row r="731" spans="1:47" s="135" customFormat="1" ht="26.25" x14ac:dyDescent="0.25">
      <c r="A731" s="488"/>
      <c r="B731" s="131"/>
      <c r="C731" s="75"/>
      <c r="D731" s="568"/>
      <c r="E731" s="568"/>
      <c r="F731" s="75"/>
      <c r="G731" s="143"/>
      <c r="H731" s="118"/>
      <c r="I731" s="121"/>
      <c r="J731" s="75">
        <v>480</v>
      </c>
      <c r="K731" s="76" t="s">
        <v>1970</v>
      </c>
      <c r="L731" s="915">
        <v>1824690.0959999999</v>
      </c>
      <c r="M731" s="915">
        <v>5641488.4178999998</v>
      </c>
      <c r="N731" s="118"/>
      <c r="O731" s="118" t="s">
        <v>3238</v>
      </c>
      <c r="P731" s="118" t="s">
        <v>345</v>
      </c>
      <c r="Q731" s="118"/>
      <c r="R731" s="118"/>
      <c r="S731" s="118"/>
      <c r="T731" s="118" t="s">
        <v>9222</v>
      </c>
      <c r="U731" s="138" t="s">
        <v>10</v>
      </c>
      <c r="V731" s="136" t="s">
        <v>16</v>
      </c>
      <c r="W731" s="136" t="s">
        <v>16</v>
      </c>
      <c r="X731" s="132" t="s">
        <v>345</v>
      </c>
      <c r="Y731" s="132" t="s">
        <v>3241</v>
      </c>
      <c r="Z731" s="137" t="s">
        <v>1239</v>
      </c>
      <c r="AA731" s="132">
        <v>1</v>
      </c>
      <c r="AB731" s="136">
        <v>17.7</v>
      </c>
      <c r="AC731" s="136">
        <v>17.7</v>
      </c>
      <c r="AD731" s="136"/>
      <c r="AE731" s="136"/>
      <c r="AF731" s="136"/>
      <c r="AG731" s="350"/>
      <c r="AH731" s="350"/>
      <c r="AI731" s="180" t="s">
        <v>1915</v>
      </c>
      <c r="AJ731" s="173"/>
      <c r="AK731" s="173"/>
      <c r="AL731" s="350"/>
      <c r="AM731" s="350"/>
      <c r="AN731" s="137" t="s">
        <v>3231</v>
      </c>
      <c r="AO731" s="137" t="s">
        <v>3233</v>
      </c>
      <c r="AP731" s="137" t="s">
        <v>3235</v>
      </c>
      <c r="AQ731" s="137" t="s">
        <v>37</v>
      </c>
      <c r="AR731" s="139">
        <v>44134</v>
      </c>
      <c r="AS731" s="137" t="s">
        <v>37</v>
      </c>
      <c r="AT731" s="358"/>
      <c r="AU731" s="1110"/>
    </row>
    <row r="732" spans="1:47" s="135" customFormat="1" ht="26.25" x14ac:dyDescent="0.25">
      <c r="A732" s="488"/>
      <c r="B732" s="131"/>
      <c r="C732" s="75"/>
      <c r="D732" s="568"/>
      <c r="E732" s="568"/>
      <c r="F732" s="75"/>
      <c r="G732" s="143"/>
      <c r="H732" s="118"/>
      <c r="I732" s="121"/>
      <c r="J732" s="75">
        <v>481</v>
      </c>
      <c r="K732" s="76" t="s">
        <v>1971</v>
      </c>
      <c r="L732" s="915">
        <v>1824573.6791000001</v>
      </c>
      <c r="M732" s="915">
        <v>5641468.8387000002</v>
      </c>
      <c r="N732" s="118"/>
      <c r="O732" s="118" t="s">
        <v>1724</v>
      </c>
      <c r="P732" s="118" t="s">
        <v>345</v>
      </c>
      <c r="Q732" s="118"/>
      <c r="R732" s="118"/>
      <c r="S732" s="118"/>
      <c r="T732" s="118" t="s">
        <v>9223</v>
      </c>
      <c r="U732" s="138" t="s">
        <v>10</v>
      </c>
      <c r="V732" s="136" t="s">
        <v>16</v>
      </c>
      <c r="W732" s="136" t="s">
        <v>16</v>
      </c>
      <c r="X732" s="132" t="s">
        <v>345</v>
      </c>
      <c r="Y732" s="132" t="s">
        <v>3242</v>
      </c>
      <c r="Z732" s="137" t="s">
        <v>1239</v>
      </c>
      <c r="AA732" s="132">
        <v>1</v>
      </c>
      <c r="AB732" s="136">
        <v>23.6</v>
      </c>
      <c r="AC732" s="136">
        <v>23.6</v>
      </c>
      <c r="AD732" s="136"/>
      <c r="AE732" s="136"/>
      <c r="AF732" s="136"/>
      <c r="AG732" s="350"/>
      <c r="AH732" s="350"/>
      <c r="AI732" s="180" t="s">
        <v>1915</v>
      </c>
      <c r="AJ732" s="173"/>
      <c r="AK732" s="173"/>
      <c r="AL732" s="350"/>
      <c r="AM732" s="350"/>
      <c r="AN732" s="137" t="s">
        <v>3231</v>
      </c>
      <c r="AO732" s="137" t="s">
        <v>3233</v>
      </c>
      <c r="AP732" s="137" t="s">
        <v>3235</v>
      </c>
      <c r="AQ732" s="137" t="s">
        <v>37</v>
      </c>
      <c r="AR732" s="139">
        <v>44134</v>
      </c>
      <c r="AS732" s="137" t="s">
        <v>37</v>
      </c>
      <c r="AT732" s="358"/>
      <c r="AU732" s="1110"/>
    </row>
    <row r="733" spans="1:47" s="135" customFormat="1" ht="51.75" x14ac:dyDescent="0.25">
      <c r="A733" s="488"/>
      <c r="B733" s="131"/>
      <c r="C733" s="75"/>
      <c r="D733" s="568"/>
      <c r="E733" s="568"/>
      <c r="F733" s="75"/>
      <c r="G733" s="143"/>
      <c r="H733" s="118"/>
      <c r="I733" s="121"/>
      <c r="J733" s="75">
        <v>482</v>
      </c>
      <c r="K733" s="76" t="s">
        <v>3236</v>
      </c>
      <c r="L733" s="915">
        <v>1837504.5438000001</v>
      </c>
      <c r="M733" s="915">
        <v>5649272.6957999999</v>
      </c>
      <c r="N733" s="118"/>
      <c r="O733" s="118" t="s">
        <v>3216</v>
      </c>
      <c r="P733" s="118" t="s">
        <v>345</v>
      </c>
      <c r="Q733" s="118"/>
      <c r="R733" s="118"/>
      <c r="S733" s="118"/>
      <c r="T733" s="118" t="s">
        <v>5844</v>
      </c>
      <c r="U733" s="138" t="s">
        <v>10</v>
      </c>
      <c r="V733" s="136" t="s">
        <v>16</v>
      </c>
      <c r="W733" s="136" t="s">
        <v>16</v>
      </c>
      <c r="X733" s="132" t="s">
        <v>345</v>
      </c>
      <c r="Y733" s="132" t="s">
        <v>3219</v>
      </c>
      <c r="Z733" s="137" t="s">
        <v>1239</v>
      </c>
      <c r="AA733" s="132">
        <v>1</v>
      </c>
      <c r="AB733" s="136" t="s">
        <v>1637</v>
      </c>
      <c r="AC733" s="136"/>
      <c r="AD733" s="136">
        <v>45</v>
      </c>
      <c r="AE733" s="136"/>
      <c r="AF733" s="136"/>
      <c r="AG733" s="350"/>
      <c r="AH733" s="350"/>
      <c r="AI733" s="180" t="s">
        <v>1915</v>
      </c>
      <c r="AJ733" s="173"/>
      <c r="AK733" s="173"/>
      <c r="AL733" s="350"/>
      <c r="AM733" s="350"/>
      <c r="AN733" s="137" t="s">
        <v>3243</v>
      </c>
      <c r="AO733" s="137" t="s">
        <v>3233</v>
      </c>
      <c r="AP733" s="137" t="s">
        <v>3235</v>
      </c>
      <c r="AQ733" s="137" t="s">
        <v>37</v>
      </c>
      <c r="AR733" s="139">
        <v>44134</v>
      </c>
      <c r="AS733" s="137" t="s">
        <v>37</v>
      </c>
      <c r="AT733" s="358"/>
      <c r="AU733" s="1110"/>
    </row>
    <row r="734" spans="1:47" s="135" customFormat="1" ht="52.5" thickBot="1" x14ac:dyDescent="0.3">
      <c r="A734" s="488"/>
      <c r="B734" s="131"/>
      <c r="C734" s="75"/>
      <c r="D734" s="568"/>
      <c r="E734" s="568"/>
      <c r="F734" s="75"/>
      <c r="G734" s="143"/>
      <c r="H734" s="118"/>
      <c r="I734" s="121"/>
      <c r="J734" s="78">
        <v>483</v>
      </c>
      <c r="K734" s="79" t="s">
        <v>3237</v>
      </c>
      <c r="L734" s="916">
        <v>1837841.7604</v>
      </c>
      <c r="M734" s="916">
        <v>5649754.3810000001</v>
      </c>
      <c r="N734" s="119"/>
      <c r="O734" s="119" t="s">
        <v>3217</v>
      </c>
      <c r="P734" s="119" t="s">
        <v>345</v>
      </c>
      <c r="Q734" s="119"/>
      <c r="R734" s="119"/>
      <c r="S734" s="119"/>
      <c r="T734" s="119" t="s">
        <v>5845</v>
      </c>
      <c r="U734" s="138" t="s">
        <v>10</v>
      </c>
      <c r="V734" s="136" t="s">
        <v>16</v>
      </c>
      <c r="W734" s="136" t="s">
        <v>16</v>
      </c>
      <c r="X734" s="132" t="s">
        <v>345</v>
      </c>
      <c r="Y734" s="132" t="s">
        <v>3112</v>
      </c>
      <c r="Z734" s="137" t="s">
        <v>1239</v>
      </c>
      <c r="AA734" s="132">
        <v>1</v>
      </c>
      <c r="AB734" s="136" t="s">
        <v>3229</v>
      </c>
      <c r="AC734" s="136"/>
      <c r="AD734" s="136">
        <v>133</v>
      </c>
      <c r="AE734" s="136"/>
      <c r="AF734" s="136"/>
      <c r="AG734" s="350"/>
      <c r="AH734" s="350"/>
      <c r="AI734" s="180" t="s">
        <v>1915</v>
      </c>
      <c r="AJ734" s="173"/>
      <c r="AK734" s="173"/>
      <c r="AL734" s="350"/>
      <c r="AM734" s="350"/>
      <c r="AN734" s="137" t="s">
        <v>3243</v>
      </c>
      <c r="AO734" s="137" t="s">
        <v>3233</v>
      </c>
      <c r="AP734" s="137" t="s">
        <v>3235</v>
      </c>
      <c r="AQ734" s="137" t="s">
        <v>37</v>
      </c>
      <c r="AR734" s="139">
        <v>44134</v>
      </c>
      <c r="AS734" s="137" t="s">
        <v>37</v>
      </c>
      <c r="AT734" s="358"/>
      <c r="AU734" s="1110"/>
    </row>
    <row r="735" spans="1:47" s="551" customFormat="1" ht="52.5" thickBot="1" x14ac:dyDescent="0.3">
      <c r="A735" s="489"/>
      <c r="B735" s="133"/>
      <c r="C735" s="78"/>
      <c r="D735" s="569"/>
      <c r="E735" s="569"/>
      <c r="F735" s="78"/>
      <c r="G735" s="144"/>
      <c r="H735" s="119"/>
      <c r="I735" s="429"/>
      <c r="J735" s="87">
        <v>878</v>
      </c>
      <c r="K735" s="360" t="s">
        <v>6127</v>
      </c>
      <c r="L735" s="198">
        <v>1824475.6028</v>
      </c>
      <c r="M735" s="198">
        <v>5641345.5707</v>
      </c>
      <c r="N735" s="199"/>
      <c r="O735" s="199" t="s">
        <v>6128</v>
      </c>
      <c r="P735" s="199" t="s">
        <v>193</v>
      </c>
      <c r="Q735" s="199"/>
      <c r="R735" s="199"/>
      <c r="S735" s="199"/>
      <c r="T735" s="332" t="s">
        <v>5941</v>
      </c>
      <c r="U735" s="206" t="s">
        <v>10</v>
      </c>
      <c r="V735" s="204" t="s">
        <v>16</v>
      </c>
      <c r="W735" s="204" t="s">
        <v>16</v>
      </c>
      <c r="X735" s="176" t="s">
        <v>193</v>
      </c>
      <c r="Y735" s="176" t="s">
        <v>6129</v>
      </c>
      <c r="Z735" s="208" t="s">
        <v>6130</v>
      </c>
      <c r="AA735" s="176">
        <v>1</v>
      </c>
      <c r="AB735" s="204" t="s">
        <v>6131</v>
      </c>
      <c r="AC735" s="204">
        <v>43.75</v>
      </c>
      <c r="AD735" s="204">
        <f>43.75-3.75</f>
        <v>40</v>
      </c>
      <c r="AE735" s="204">
        <f>43.75+3.75</f>
        <v>47.5</v>
      </c>
      <c r="AF735" s="204"/>
      <c r="AG735" s="353"/>
      <c r="AH735" s="353"/>
      <c r="AI735" s="207" t="s">
        <v>256</v>
      </c>
      <c r="AJ735" s="205"/>
      <c r="AK735" s="205"/>
      <c r="AL735" s="353"/>
      <c r="AM735" s="353"/>
      <c r="AN735" s="207" t="s">
        <v>6084</v>
      </c>
      <c r="AO735" s="208" t="s">
        <v>6294</v>
      </c>
      <c r="AP735" s="208" t="s">
        <v>6121</v>
      </c>
      <c r="AQ735" s="208" t="s">
        <v>37</v>
      </c>
      <c r="AR735" s="209">
        <v>44316</v>
      </c>
      <c r="AS735" s="208"/>
      <c r="AT735" s="364"/>
      <c r="AU735" s="1109"/>
    </row>
    <row r="736" spans="1:47" ht="90" x14ac:dyDescent="0.25">
      <c r="A736" s="341" t="s">
        <v>1081</v>
      </c>
      <c r="B736" s="181" t="s">
        <v>1082</v>
      </c>
      <c r="C736" s="125">
        <v>242</v>
      </c>
      <c r="D736" s="585" t="s">
        <v>57</v>
      </c>
      <c r="E736" s="585"/>
      <c r="F736" s="125" t="s">
        <v>668</v>
      </c>
      <c r="G736" s="145" t="s">
        <v>1238</v>
      </c>
      <c r="H736" s="255" t="s">
        <v>5514</v>
      </c>
      <c r="I736" s="316" t="s">
        <v>5515</v>
      </c>
      <c r="J736" s="189">
        <v>195</v>
      </c>
      <c r="K736" s="355" t="s">
        <v>1083</v>
      </c>
      <c r="L736" s="911">
        <v>1824692</v>
      </c>
      <c r="M736" s="911">
        <v>5660335</v>
      </c>
      <c r="N736" s="126"/>
      <c r="O736" s="126" t="s">
        <v>1084</v>
      </c>
      <c r="P736" s="126" t="s">
        <v>194</v>
      </c>
      <c r="Q736" s="126"/>
      <c r="R736" s="126"/>
      <c r="S736" s="126"/>
      <c r="T736" s="344" t="s">
        <v>1089</v>
      </c>
      <c r="U736" s="31" t="s">
        <v>10</v>
      </c>
      <c r="V736" s="31" t="s">
        <v>16</v>
      </c>
      <c r="W736" s="31" t="s">
        <v>10</v>
      </c>
      <c r="X736" s="97" t="s">
        <v>194</v>
      </c>
      <c r="Y736" s="97" t="s">
        <v>1085</v>
      </c>
      <c r="Z736" s="40" t="s">
        <v>1086</v>
      </c>
      <c r="AA736" s="97">
        <v>1</v>
      </c>
      <c r="AB736" s="31">
        <v>20</v>
      </c>
      <c r="AC736" s="31">
        <v>20</v>
      </c>
      <c r="AD736" s="31"/>
      <c r="AE736" s="31"/>
      <c r="AF736" s="31"/>
      <c r="AG736" s="372"/>
      <c r="AH736" s="372"/>
      <c r="AI736" s="30" t="s">
        <v>256</v>
      </c>
      <c r="AJ736" s="130"/>
      <c r="AK736" s="130"/>
      <c r="AL736" s="372"/>
      <c r="AM736" s="372"/>
      <c r="AN736" s="40" t="s">
        <v>1090</v>
      </c>
      <c r="AO736" s="40" t="s">
        <v>1087</v>
      </c>
      <c r="AP736" s="40" t="s">
        <v>1088</v>
      </c>
      <c r="AQ736" s="40" t="s">
        <v>37</v>
      </c>
      <c r="AR736" s="41">
        <v>44088</v>
      </c>
      <c r="AS736" s="40" t="s">
        <v>37</v>
      </c>
      <c r="AT736" s="54"/>
      <c r="AU736" s="652"/>
    </row>
    <row r="737" spans="1:49" ht="39" x14ac:dyDescent="0.25">
      <c r="A737" s="339"/>
      <c r="B737" s="116"/>
      <c r="C737" s="95"/>
      <c r="D737" s="567"/>
      <c r="E737" s="567"/>
      <c r="F737" s="95"/>
      <c r="G737" s="146"/>
      <c r="H737" s="108"/>
      <c r="I737" s="116"/>
      <c r="J737" s="191">
        <v>196</v>
      </c>
      <c r="K737" s="359" t="s">
        <v>1091</v>
      </c>
      <c r="L737" s="913">
        <v>1825429</v>
      </c>
      <c r="M737" s="913">
        <v>5663092</v>
      </c>
      <c r="N737" s="108"/>
      <c r="O737" s="108" t="s">
        <v>1098</v>
      </c>
      <c r="P737" s="108" t="s">
        <v>194</v>
      </c>
      <c r="Q737" s="108"/>
      <c r="R737" s="108"/>
      <c r="S737" s="108"/>
      <c r="T737" s="184" t="s">
        <v>1114</v>
      </c>
      <c r="U737" s="24" t="s">
        <v>10</v>
      </c>
      <c r="V737" s="24" t="s">
        <v>16</v>
      </c>
      <c r="W737" s="24" t="s">
        <v>10</v>
      </c>
      <c r="X737" s="117" t="s">
        <v>194</v>
      </c>
      <c r="Y737" s="117" t="s">
        <v>1105</v>
      </c>
      <c r="Z737" s="46" t="s">
        <v>1086</v>
      </c>
      <c r="AA737" s="117">
        <v>1</v>
      </c>
      <c r="AB737" s="24">
        <v>25</v>
      </c>
      <c r="AC737" s="24">
        <v>25</v>
      </c>
      <c r="AD737" s="24"/>
      <c r="AE737" s="24"/>
      <c r="AF737" s="24"/>
      <c r="AG737" s="351"/>
      <c r="AH737" s="351"/>
      <c r="AI737" s="45" t="s">
        <v>256</v>
      </c>
      <c r="AJ737" s="103"/>
      <c r="AK737" s="103"/>
      <c r="AL737" s="351"/>
      <c r="AM737" s="351"/>
      <c r="AN737" s="46" t="s">
        <v>1112</v>
      </c>
      <c r="AO737" s="46" t="s">
        <v>1087</v>
      </c>
      <c r="AP737" s="46" t="s">
        <v>1088</v>
      </c>
      <c r="AQ737" s="46" t="s">
        <v>37</v>
      </c>
      <c r="AR737" s="47">
        <v>44088</v>
      </c>
      <c r="AS737" s="46" t="s">
        <v>37</v>
      </c>
      <c r="AT737" s="365"/>
      <c r="AU737" s="1107"/>
    </row>
    <row r="738" spans="1:49" ht="39" x14ac:dyDescent="0.25">
      <c r="A738" s="339"/>
      <c r="B738" s="116"/>
      <c r="C738" s="95"/>
      <c r="D738" s="567"/>
      <c r="E738" s="567"/>
      <c r="F738" s="95"/>
      <c r="G738" s="146"/>
      <c r="H738" s="108"/>
      <c r="I738" s="116"/>
      <c r="J738" s="191">
        <v>197</v>
      </c>
      <c r="K738" s="359" t="s">
        <v>1092</v>
      </c>
      <c r="L738" s="913">
        <v>1826856</v>
      </c>
      <c r="M738" s="913">
        <v>5665241</v>
      </c>
      <c r="N738" s="108"/>
      <c r="O738" s="108" t="s">
        <v>1099</v>
      </c>
      <c r="P738" s="108" t="s">
        <v>194</v>
      </c>
      <c r="Q738" s="108"/>
      <c r="R738" s="108"/>
      <c r="S738" s="108"/>
      <c r="T738" s="184" t="s">
        <v>1115</v>
      </c>
      <c r="U738" s="24" t="s">
        <v>10</v>
      </c>
      <c r="V738" s="24" t="s">
        <v>16</v>
      </c>
      <c r="W738" s="24" t="s">
        <v>10</v>
      </c>
      <c r="X738" s="117" t="s">
        <v>194</v>
      </c>
      <c r="Y738" s="117" t="s">
        <v>1106</v>
      </c>
      <c r="Z738" s="46" t="s">
        <v>1086</v>
      </c>
      <c r="AA738" s="117">
        <v>1</v>
      </c>
      <c r="AB738" s="24">
        <v>22</v>
      </c>
      <c r="AC738" s="24">
        <v>22</v>
      </c>
      <c r="AD738" s="24"/>
      <c r="AE738" s="24"/>
      <c r="AF738" s="24"/>
      <c r="AG738" s="351"/>
      <c r="AH738" s="351"/>
      <c r="AI738" s="45" t="s">
        <v>256</v>
      </c>
      <c r="AJ738" s="103"/>
      <c r="AK738" s="103"/>
      <c r="AL738" s="351"/>
      <c r="AM738" s="351"/>
      <c r="AN738" s="46" t="s">
        <v>1090</v>
      </c>
      <c r="AO738" s="46" t="s">
        <v>1087</v>
      </c>
      <c r="AP738" s="46" t="s">
        <v>1088</v>
      </c>
      <c r="AQ738" s="46" t="s">
        <v>37</v>
      </c>
      <c r="AR738" s="47">
        <v>44088</v>
      </c>
      <c r="AS738" s="46" t="s">
        <v>37</v>
      </c>
      <c r="AT738" s="365"/>
      <c r="AU738" s="1107"/>
    </row>
    <row r="739" spans="1:49" ht="39" x14ac:dyDescent="0.25">
      <c r="A739" s="339"/>
      <c r="B739" s="116"/>
      <c r="C739" s="95"/>
      <c r="D739" s="567"/>
      <c r="E739" s="567"/>
      <c r="F739" s="95"/>
      <c r="G739" s="146"/>
      <c r="H739" s="108"/>
      <c r="I739" s="116"/>
      <c r="J739" s="191">
        <v>198</v>
      </c>
      <c r="K739" s="359" t="s">
        <v>1093</v>
      </c>
      <c r="L739" s="913">
        <v>1826953</v>
      </c>
      <c r="M739" s="913">
        <v>5665434</v>
      </c>
      <c r="N739" s="108"/>
      <c r="O739" s="108" t="s">
        <v>1100</v>
      </c>
      <c r="P739" s="108" t="s">
        <v>194</v>
      </c>
      <c r="Q739" s="108"/>
      <c r="R739" s="108"/>
      <c r="S739" s="108"/>
      <c r="T739" s="184" t="s">
        <v>1116</v>
      </c>
      <c r="U739" s="24" t="s">
        <v>10</v>
      </c>
      <c r="V739" s="24" t="s">
        <v>16</v>
      </c>
      <c r="W739" s="24" t="s">
        <v>10</v>
      </c>
      <c r="X739" s="117" t="s">
        <v>194</v>
      </c>
      <c r="Y739" s="117" t="s">
        <v>1107</v>
      </c>
      <c r="Z739" s="46" t="s">
        <v>1086</v>
      </c>
      <c r="AA739" s="117">
        <v>1</v>
      </c>
      <c r="AB739" s="24">
        <v>52.6</v>
      </c>
      <c r="AC739" s="24">
        <v>52.6</v>
      </c>
      <c r="AD739" s="24"/>
      <c r="AE739" s="24"/>
      <c r="AF739" s="24"/>
      <c r="AG739" s="351"/>
      <c r="AH739" s="351"/>
      <c r="AI739" s="45" t="s">
        <v>256</v>
      </c>
      <c r="AJ739" s="103"/>
      <c r="AK739" s="103"/>
      <c r="AL739" s="351"/>
      <c r="AM739" s="351"/>
      <c r="AN739" s="46" t="s">
        <v>1112</v>
      </c>
      <c r="AO739" s="46" t="s">
        <v>1087</v>
      </c>
      <c r="AP739" s="46" t="s">
        <v>1088</v>
      </c>
      <c r="AQ739" s="46" t="s">
        <v>37</v>
      </c>
      <c r="AR739" s="47">
        <v>44088</v>
      </c>
      <c r="AS739" s="46" t="s">
        <v>37</v>
      </c>
      <c r="AT739" s="365"/>
      <c r="AU739" s="1107"/>
    </row>
    <row r="740" spans="1:49" ht="39" x14ac:dyDescent="0.25">
      <c r="A740" s="339"/>
      <c r="B740" s="116"/>
      <c r="C740" s="95"/>
      <c r="D740" s="567"/>
      <c r="E740" s="567"/>
      <c r="F740" s="95"/>
      <c r="G740" s="146"/>
      <c r="H740" s="108"/>
      <c r="I740" s="116"/>
      <c r="J740" s="191">
        <v>199</v>
      </c>
      <c r="K740" s="359" t="s">
        <v>1094</v>
      </c>
      <c r="L740" s="913">
        <v>1827634</v>
      </c>
      <c r="M740" s="913">
        <v>5666324</v>
      </c>
      <c r="N740" s="108"/>
      <c r="O740" s="108" t="s">
        <v>1101</v>
      </c>
      <c r="P740" s="108" t="s">
        <v>194</v>
      </c>
      <c r="Q740" s="108"/>
      <c r="R740" s="108"/>
      <c r="S740" s="108"/>
      <c r="T740" s="184" t="s">
        <v>1117</v>
      </c>
      <c r="U740" s="24" t="s">
        <v>10</v>
      </c>
      <c r="V740" s="24" t="s">
        <v>16</v>
      </c>
      <c r="W740" s="24" t="s">
        <v>10</v>
      </c>
      <c r="X740" s="117" t="s">
        <v>194</v>
      </c>
      <c r="Y740" s="117" t="s">
        <v>1108</v>
      </c>
      <c r="Z740" s="46" t="s">
        <v>1086</v>
      </c>
      <c r="AA740" s="117">
        <v>1</v>
      </c>
      <c r="AB740" s="24">
        <v>59</v>
      </c>
      <c r="AC740" s="24">
        <v>59</v>
      </c>
      <c r="AD740" s="24"/>
      <c r="AE740" s="24"/>
      <c r="AF740" s="24"/>
      <c r="AG740" s="351"/>
      <c r="AH740" s="351"/>
      <c r="AI740" s="45" t="s">
        <v>256</v>
      </c>
      <c r="AJ740" s="103"/>
      <c r="AK740" s="103"/>
      <c r="AL740" s="351"/>
      <c r="AM740" s="351"/>
      <c r="AN740" s="46" t="s">
        <v>1113</v>
      </c>
      <c r="AO740" s="46" t="s">
        <v>1087</v>
      </c>
      <c r="AP740" s="46" t="s">
        <v>1088</v>
      </c>
      <c r="AQ740" s="46" t="s">
        <v>37</v>
      </c>
      <c r="AR740" s="47">
        <v>44088</v>
      </c>
      <c r="AS740" s="46" t="s">
        <v>37</v>
      </c>
      <c r="AT740" s="365"/>
      <c r="AU740" s="1107"/>
    </row>
    <row r="741" spans="1:49" ht="39" x14ac:dyDescent="0.25">
      <c r="A741" s="339"/>
      <c r="B741" s="116"/>
      <c r="C741" s="95"/>
      <c r="D741" s="567"/>
      <c r="E741" s="567"/>
      <c r="F741" s="95"/>
      <c r="G741" s="146"/>
      <c r="H741" s="108"/>
      <c r="I741" s="116"/>
      <c r="J741" s="191">
        <v>200</v>
      </c>
      <c r="K741" s="359" t="s">
        <v>1095</v>
      </c>
      <c r="L741" s="913">
        <v>1827805.9097</v>
      </c>
      <c r="M741" s="913">
        <v>5667340.7411000002</v>
      </c>
      <c r="N741" s="108"/>
      <c r="O741" s="108" t="s">
        <v>1102</v>
      </c>
      <c r="P741" s="108" t="s">
        <v>194</v>
      </c>
      <c r="Q741" s="108"/>
      <c r="R741" s="108"/>
      <c r="S741" s="108"/>
      <c r="T741" s="184" t="s">
        <v>1118</v>
      </c>
      <c r="U741" s="24" t="s">
        <v>10</v>
      </c>
      <c r="V741" s="24" t="s">
        <v>16</v>
      </c>
      <c r="W741" s="24" t="s">
        <v>10</v>
      </c>
      <c r="X741" s="117" t="s">
        <v>194</v>
      </c>
      <c r="Y741" s="117" t="s">
        <v>1109</v>
      </c>
      <c r="Z741" s="46" t="s">
        <v>1086</v>
      </c>
      <c r="AA741" s="117">
        <v>1</v>
      </c>
      <c r="AB741" s="24">
        <v>12</v>
      </c>
      <c r="AC741" s="24">
        <v>12</v>
      </c>
      <c r="AD741" s="24"/>
      <c r="AE741" s="24"/>
      <c r="AF741" s="24"/>
      <c r="AG741" s="351"/>
      <c r="AH741" s="351"/>
      <c r="AI741" s="45" t="s">
        <v>256</v>
      </c>
      <c r="AJ741" s="103"/>
      <c r="AK741" s="103"/>
      <c r="AL741" s="351"/>
      <c r="AM741" s="351"/>
      <c r="AN741" s="46" t="s">
        <v>1112</v>
      </c>
      <c r="AO741" s="46" t="s">
        <v>1087</v>
      </c>
      <c r="AP741" s="46" t="s">
        <v>1088</v>
      </c>
      <c r="AQ741" s="46" t="s">
        <v>37</v>
      </c>
      <c r="AR741" s="47">
        <v>44088</v>
      </c>
      <c r="AS741" s="46" t="s">
        <v>37</v>
      </c>
      <c r="AT741" s="365"/>
      <c r="AU741" s="1107"/>
    </row>
    <row r="742" spans="1:49" ht="39.75" thickBot="1" x14ac:dyDescent="0.3">
      <c r="A742" s="336"/>
      <c r="B742" s="196"/>
      <c r="C742" s="526"/>
      <c r="D742" s="566"/>
      <c r="E742" s="566"/>
      <c r="F742" s="96"/>
      <c r="G742" s="147"/>
      <c r="H742" s="107"/>
      <c r="I742" s="196"/>
      <c r="J742" s="190">
        <v>201</v>
      </c>
      <c r="K742" s="357" t="s">
        <v>1096</v>
      </c>
      <c r="L742" s="912">
        <v>1827686</v>
      </c>
      <c r="M742" s="912">
        <v>5672169</v>
      </c>
      <c r="N742" s="107"/>
      <c r="O742" s="107" t="s">
        <v>1103</v>
      </c>
      <c r="P742" s="107" t="s">
        <v>194</v>
      </c>
      <c r="Q742" s="107"/>
      <c r="R742" s="107"/>
      <c r="S742" s="107"/>
      <c r="T742" s="127" t="s">
        <v>1119</v>
      </c>
      <c r="U742" s="24" t="s">
        <v>10</v>
      </c>
      <c r="V742" s="24" t="s">
        <v>16</v>
      </c>
      <c r="W742" s="24" t="s">
        <v>10</v>
      </c>
      <c r="X742" s="117" t="s">
        <v>194</v>
      </c>
      <c r="Y742" s="117" t="s">
        <v>1110</v>
      </c>
      <c r="Z742" s="46" t="s">
        <v>1086</v>
      </c>
      <c r="AA742" s="117">
        <v>1</v>
      </c>
      <c r="AB742" s="24">
        <v>40</v>
      </c>
      <c r="AC742" s="24">
        <v>40</v>
      </c>
      <c r="AD742" s="24"/>
      <c r="AE742" s="24"/>
      <c r="AF742" s="24"/>
      <c r="AG742" s="351"/>
      <c r="AH742" s="351"/>
      <c r="AI742" s="45" t="s">
        <v>256</v>
      </c>
      <c r="AJ742" s="103"/>
      <c r="AK742" s="103"/>
      <c r="AL742" s="351"/>
      <c r="AM742" s="351"/>
      <c r="AN742" s="46" t="s">
        <v>1090</v>
      </c>
      <c r="AO742" s="46" t="s">
        <v>1087</v>
      </c>
      <c r="AP742" s="46" t="s">
        <v>1088</v>
      </c>
      <c r="AQ742" s="46" t="s">
        <v>37</v>
      </c>
      <c r="AR742" s="47">
        <v>44245</v>
      </c>
      <c r="AS742" s="46" t="s">
        <v>37</v>
      </c>
      <c r="AT742" s="365"/>
      <c r="AU742" s="1107"/>
    </row>
    <row r="743" spans="1:49" ht="39.75" thickBot="1" x14ac:dyDescent="0.3">
      <c r="A743" s="345" t="s">
        <v>1081</v>
      </c>
      <c r="B743" s="331" t="s">
        <v>4994</v>
      </c>
      <c r="C743" s="527">
        <v>237</v>
      </c>
      <c r="D743" s="588" t="s">
        <v>57</v>
      </c>
      <c r="E743" s="588"/>
      <c r="F743" s="83" t="s">
        <v>668</v>
      </c>
      <c r="G743" s="268" t="s">
        <v>1238</v>
      </c>
      <c r="H743" s="199" t="s">
        <v>1120</v>
      </c>
      <c r="I743" s="395" t="s">
        <v>5516</v>
      </c>
      <c r="J743" s="192">
        <v>202</v>
      </c>
      <c r="K743" s="79" t="s">
        <v>1097</v>
      </c>
      <c r="L743" s="916">
        <v>1829032</v>
      </c>
      <c r="M743" s="916">
        <v>5675693</v>
      </c>
      <c r="N743" s="119"/>
      <c r="O743" s="119" t="s">
        <v>1104</v>
      </c>
      <c r="P743" s="119" t="s">
        <v>194</v>
      </c>
      <c r="Q743" s="119"/>
      <c r="R743" s="119"/>
      <c r="S743" s="119"/>
      <c r="T743" s="267" t="s">
        <v>1120</v>
      </c>
      <c r="U743" s="104" t="s">
        <v>10</v>
      </c>
      <c r="V743" s="25" t="s">
        <v>16</v>
      </c>
      <c r="W743" s="25" t="s">
        <v>10</v>
      </c>
      <c r="X743" s="120" t="s">
        <v>194</v>
      </c>
      <c r="Y743" s="120" t="s">
        <v>1111</v>
      </c>
      <c r="Z743" s="52" t="s">
        <v>1086</v>
      </c>
      <c r="AA743" s="120">
        <v>1</v>
      </c>
      <c r="AB743" s="25">
        <v>85</v>
      </c>
      <c r="AC743" s="25">
        <v>85</v>
      </c>
      <c r="AD743" s="25"/>
      <c r="AE743" s="25"/>
      <c r="AF743" s="25"/>
      <c r="AG743" s="386"/>
      <c r="AH743" s="386"/>
      <c r="AI743" s="51" t="s">
        <v>256</v>
      </c>
      <c r="AJ743" s="105"/>
      <c r="AK743" s="105"/>
      <c r="AL743" s="386"/>
      <c r="AM743" s="386"/>
      <c r="AN743" s="52" t="s">
        <v>1113</v>
      </c>
      <c r="AO743" s="52" t="s">
        <v>1087</v>
      </c>
      <c r="AP743" s="52" t="s">
        <v>1088</v>
      </c>
      <c r="AQ743" s="52" t="s">
        <v>37</v>
      </c>
      <c r="AR743" s="53">
        <v>44245</v>
      </c>
      <c r="AS743" s="52" t="s">
        <v>37</v>
      </c>
      <c r="AT743" s="367"/>
      <c r="AU743" s="653"/>
    </row>
    <row r="744" spans="1:49" ht="39.75" thickBot="1" x14ac:dyDescent="0.3">
      <c r="A744" s="334" t="s">
        <v>5248</v>
      </c>
      <c r="B744" s="333" t="s">
        <v>5249</v>
      </c>
      <c r="C744" s="84">
        <v>310</v>
      </c>
      <c r="D744" s="591" t="s">
        <v>53</v>
      </c>
      <c r="E744" s="591" t="s">
        <v>52</v>
      </c>
      <c r="F744" s="84" t="s">
        <v>2083</v>
      </c>
      <c r="G744" s="84" t="s">
        <v>1972</v>
      </c>
      <c r="H744" s="109" t="s">
        <v>2277</v>
      </c>
      <c r="I744" s="124" t="s">
        <v>5586</v>
      </c>
      <c r="J744" s="89">
        <v>2449</v>
      </c>
      <c r="K744" s="396" t="s">
        <v>5250</v>
      </c>
      <c r="L744" s="908">
        <v>1883515.7346000001</v>
      </c>
      <c r="M744" s="908">
        <v>5554339.5027000001</v>
      </c>
      <c r="N744" s="109">
        <v>25</v>
      </c>
      <c r="O744" s="109" t="s">
        <v>5251</v>
      </c>
      <c r="P744" s="109" t="s">
        <v>194</v>
      </c>
      <c r="Q744" s="296"/>
      <c r="R744" s="296"/>
      <c r="S744" s="296"/>
      <c r="T744" s="295" t="s">
        <v>5252</v>
      </c>
      <c r="U744" s="294" t="s">
        <v>16</v>
      </c>
      <c r="V744" s="197" t="s">
        <v>85</v>
      </c>
      <c r="W744" s="197" t="s">
        <v>16</v>
      </c>
      <c r="X744" s="197" t="s">
        <v>194</v>
      </c>
      <c r="Y744" s="307" t="s">
        <v>5253</v>
      </c>
      <c r="Z744" s="92" t="s">
        <v>5254</v>
      </c>
      <c r="AA744" s="197">
        <v>1</v>
      </c>
      <c r="AB744" s="307" t="s">
        <v>5156</v>
      </c>
      <c r="AC744" s="197">
        <v>12</v>
      </c>
      <c r="AD744" s="197"/>
      <c r="AE744" s="197"/>
      <c r="AF744" s="197">
        <v>10</v>
      </c>
      <c r="AG744" s="197"/>
      <c r="AH744" s="197"/>
      <c r="AI744" s="94" t="s">
        <v>256</v>
      </c>
      <c r="AJ744" s="197" t="s">
        <v>3459</v>
      </c>
      <c r="AK744" s="197"/>
      <c r="AL744" s="197"/>
      <c r="AM744" s="197"/>
      <c r="AN744" s="94" t="s">
        <v>5851</v>
      </c>
      <c r="AO744" s="292" t="s">
        <v>5157</v>
      </c>
      <c r="AP744" s="92" t="s">
        <v>1462</v>
      </c>
      <c r="AQ744" s="92" t="s">
        <v>3457</v>
      </c>
      <c r="AR744" s="93">
        <v>44243</v>
      </c>
      <c r="AS744" s="92" t="s">
        <v>3457</v>
      </c>
      <c r="AT744" s="291">
        <v>44270</v>
      </c>
      <c r="AU744" s="290" t="s">
        <v>37</v>
      </c>
    </row>
    <row r="745" spans="1:49" ht="39" x14ac:dyDescent="0.25">
      <c r="A745" s="487" t="s">
        <v>2706</v>
      </c>
      <c r="B745" s="128" t="s">
        <v>6826</v>
      </c>
      <c r="C745" s="72">
        <v>269</v>
      </c>
      <c r="D745" s="586" t="s">
        <v>53</v>
      </c>
      <c r="E745" s="586" t="s">
        <v>57</v>
      </c>
      <c r="F745" s="72" t="s">
        <v>2751</v>
      </c>
      <c r="G745" s="140" t="s">
        <v>3061</v>
      </c>
      <c r="H745" s="129" t="s">
        <v>3062</v>
      </c>
      <c r="I745" s="128" t="s">
        <v>5591</v>
      </c>
      <c r="J745" s="187">
        <v>3000</v>
      </c>
      <c r="K745" s="73" t="s">
        <v>2707</v>
      </c>
      <c r="L745" s="914">
        <v>1960220.109802</v>
      </c>
      <c r="M745" s="914">
        <v>5766352.5188680002</v>
      </c>
      <c r="N745" s="128"/>
      <c r="O745" s="129" t="s">
        <v>2708</v>
      </c>
      <c r="P745" s="251" t="s">
        <v>2047</v>
      </c>
      <c r="Q745" s="129"/>
      <c r="R745" s="129"/>
      <c r="S745" s="129"/>
      <c r="T745" s="251" t="s">
        <v>2709</v>
      </c>
      <c r="U745" s="101" t="s">
        <v>16</v>
      </c>
      <c r="V745" s="31" t="s">
        <v>16</v>
      </c>
      <c r="W745" s="31" t="s">
        <v>16</v>
      </c>
      <c r="X745" s="97" t="s">
        <v>61</v>
      </c>
      <c r="Y745" s="97" t="s">
        <v>2710</v>
      </c>
      <c r="Z745" s="40" t="s">
        <v>261</v>
      </c>
      <c r="AA745" s="97" t="s">
        <v>419</v>
      </c>
      <c r="AB745" s="31" t="s">
        <v>2711</v>
      </c>
      <c r="AC745" s="401">
        <v>19.75</v>
      </c>
      <c r="AD745" s="31">
        <v>9.5</v>
      </c>
      <c r="AE745" s="31">
        <v>30</v>
      </c>
      <c r="AF745" s="31"/>
      <c r="AG745" s="372"/>
      <c r="AH745" s="372"/>
      <c r="AI745" s="30" t="s">
        <v>1915</v>
      </c>
      <c r="AJ745" s="31"/>
      <c r="AK745" s="31"/>
      <c r="AL745" s="372"/>
      <c r="AM745" s="372"/>
      <c r="AN745" s="30" t="s">
        <v>2712</v>
      </c>
      <c r="AO745" s="30" t="s">
        <v>2713</v>
      </c>
      <c r="AP745" s="40" t="s">
        <v>2714</v>
      </c>
      <c r="AQ745" s="40" t="s">
        <v>2715</v>
      </c>
      <c r="AR745" s="41">
        <v>44063</v>
      </c>
      <c r="AS745" s="40" t="s">
        <v>2715</v>
      </c>
      <c r="AT745" s="41">
        <v>44111</v>
      </c>
      <c r="AU745" s="652" t="s">
        <v>37</v>
      </c>
      <c r="AV745" s="402"/>
      <c r="AW745" s="402"/>
    </row>
    <row r="746" spans="1:49" ht="26.25" x14ac:dyDescent="0.25">
      <c r="A746" s="488"/>
      <c r="B746" s="131"/>
      <c r="C746" s="568"/>
      <c r="D746" s="568"/>
      <c r="E746" s="568"/>
      <c r="F746" s="75"/>
      <c r="G746" s="568"/>
      <c r="H746" s="118"/>
      <c r="I746" s="131"/>
      <c r="J746" s="188">
        <v>3001</v>
      </c>
      <c r="K746" s="76" t="s">
        <v>2716</v>
      </c>
      <c r="L746" s="915">
        <v>1962499.6855049999</v>
      </c>
      <c r="M746" s="915">
        <v>5776485.5990420002</v>
      </c>
      <c r="N746" s="131"/>
      <c r="O746" s="118" t="s">
        <v>2717</v>
      </c>
      <c r="P746" s="312" t="s">
        <v>2047</v>
      </c>
      <c r="Q746" s="118"/>
      <c r="R746" s="118"/>
      <c r="S746" s="118"/>
      <c r="T746" s="312" t="s">
        <v>2718</v>
      </c>
      <c r="U746" s="102" t="s">
        <v>16</v>
      </c>
      <c r="V746" s="136" t="s">
        <v>16</v>
      </c>
      <c r="W746" s="24" t="s">
        <v>16</v>
      </c>
      <c r="X746" s="117" t="s">
        <v>61</v>
      </c>
      <c r="Y746" s="117" t="s">
        <v>2719</v>
      </c>
      <c r="Z746" s="46" t="s">
        <v>2720</v>
      </c>
      <c r="AA746" s="117" t="s">
        <v>419</v>
      </c>
      <c r="AB746" s="24" t="s">
        <v>2721</v>
      </c>
      <c r="AC746" s="24">
        <v>19</v>
      </c>
      <c r="AD746" s="24">
        <v>15</v>
      </c>
      <c r="AE746" s="24">
        <v>23</v>
      </c>
      <c r="AF746" s="24"/>
      <c r="AG746" s="351"/>
      <c r="AH746" s="351"/>
      <c r="AI746" s="45" t="s">
        <v>2722</v>
      </c>
      <c r="AJ746" s="103"/>
      <c r="AK746" s="24"/>
      <c r="AL746" s="351"/>
      <c r="AM746" s="351"/>
      <c r="AN746" s="45" t="s">
        <v>2712</v>
      </c>
      <c r="AO746" s="45" t="s">
        <v>2713</v>
      </c>
      <c r="AP746" s="46" t="s">
        <v>2714</v>
      </c>
      <c r="AQ746" s="46" t="s">
        <v>2715</v>
      </c>
      <c r="AR746" s="47">
        <v>44063</v>
      </c>
      <c r="AS746" s="46" t="s">
        <v>2715</v>
      </c>
      <c r="AT746" s="47">
        <v>44111</v>
      </c>
      <c r="AU746" s="1107" t="s">
        <v>37</v>
      </c>
      <c r="AV746" s="402"/>
      <c r="AW746" s="402"/>
    </row>
    <row r="747" spans="1:49" ht="26.25" x14ac:dyDescent="0.25">
      <c r="A747" s="488"/>
      <c r="B747" s="131"/>
      <c r="C747" s="568"/>
      <c r="D747" s="568"/>
      <c r="E747" s="568"/>
      <c r="F747" s="75"/>
      <c r="G747" s="568"/>
      <c r="H747" s="118"/>
      <c r="I747" s="131"/>
      <c r="J747" s="188">
        <v>3002</v>
      </c>
      <c r="K747" s="76" t="s">
        <v>2723</v>
      </c>
      <c r="L747" s="915">
        <v>1962499.6855049999</v>
      </c>
      <c r="M747" s="915">
        <v>5776485.5990420002</v>
      </c>
      <c r="N747" s="118"/>
      <c r="O747" s="118" t="s">
        <v>2724</v>
      </c>
      <c r="P747" s="67" t="s">
        <v>2047</v>
      </c>
      <c r="Q747" s="118"/>
      <c r="R747" s="118"/>
      <c r="S747" s="118"/>
      <c r="T747" s="312" t="s">
        <v>2725</v>
      </c>
      <c r="U747" s="102" t="s">
        <v>16</v>
      </c>
      <c r="V747" s="136" t="s">
        <v>16</v>
      </c>
      <c r="W747" s="24" t="s">
        <v>16</v>
      </c>
      <c r="X747" s="117" t="s">
        <v>61</v>
      </c>
      <c r="Y747" s="117" t="s">
        <v>2726</v>
      </c>
      <c r="Z747" s="46" t="s">
        <v>2727</v>
      </c>
      <c r="AA747" s="117" t="s">
        <v>419</v>
      </c>
      <c r="AB747" s="24" t="s">
        <v>2721</v>
      </c>
      <c r="AC747" s="24">
        <v>19</v>
      </c>
      <c r="AD747" s="24">
        <v>15</v>
      </c>
      <c r="AE747" s="24">
        <v>23</v>
      </c>
      <c r="AF747" s="24"/>
      <c r="AG747" s="351"/>
      <c r="AH747" s="351"/>
      <c r="AI747" s="45" t="s">
        <v>2722</v>
      </c>
      <c r="AJ747" s="103"/>
      <c r="AK747" s="24"/>
      <c r="AL747" s="351"/>
      <c r="AM747" s="351"/>
      <c r="AN747" s="403" t="s">
        <v>2728</v>
      </c>
      <c r="AO747" s="45" t="s">
        <v>2713</v>
      </c>
      <c r="AP747" s="46" t="s">
        <v>2714</v>
      </c>
      <c r="AQ747" s="46" t="s">
        <v>2715</v>
      </c>
      <c r="AR747" s="47">
        <v>44063</v>
      </c>
      <c r="AS747" s="46" t="s">
        <v>2715</v>
      </c>
      <c r="AT747" s="47">
        <v>44111</v>
      </c>
      <c r="AU747" s="1107" t="s">
        <v>37</v>
      </c>
      <c r="AV747" s="402"/>
      <c r="AW747" s="402"/>
    </row>
    <row r="748" spans="1:49" ht="39" x14ac:dyDescent="0.25">
      <c r="A748" s="488"/>
      <c r="B748" s="131"/>
      <c r="C748" s="568"/>
      <c r="D748" s="568"/>
      <c r="E748" s="568"/>
      <c r="F748" s="75"/>
      <c r="G748" s="568"/>
      <c r="H748" s="118"/>
      <c r="I748" s="131"/>
      <c r="J748" s="188">
        <v>3003</v>
      </c>
      <c r="K748" s="76" t="s">
        <v>2729</v>
      </c>
      <c r="L748" s="915">
        <v>1962500.4557020001</v>
      </c>
      <c r="M748" s="915">
        <v>5776479.0693709999</v>
      </c>
      <c r="N748" s="118"/>
      <c r="O748" s="118" t="s">
        <v>2724</v>
      </c>
      <c r="P748" s="67" t="s">
        <v>2047</v>
      </c>
      <c r="Q748" s="118"/>
      <c r="R748" s="118"/>
      <c r="S748" s="118"/>
      <c r="T748" s="312" t="s">
        <v>2725</v>
      </c>
      <c r="U748" s="102" t="s">
        <v>16</v>
      </c>
      <c r="V748" s="136" t="s">
        <v>16</v>
      </c>
      <c r="W748" s="24" t="s">
        <v>16</v>
      </c>
      <c r="X748" s="117" t="s">
        <v>61</v>
      </c>
      <c r="Y748" s="117" t="s">
        <v>2726</v>
      </c>
      <c r="Z748" s="46" t="s">
        <v>798</v>
      </c>
      <c r="AA748" s="117" t="s">
        <v>419</v>
      </c>
      <c r="AB748" s="24" t="s">
        <v>2721</v>
      </c>
      <c r="AC748" s="24">
        <v>19</v>
      </c>
      <c r="AD748" s="24">
        <v>15</v>
      </c>
      <c r="AE748" s="24">
        <v>23</v>
      </c>
      <c r="AF748" s="24"/>
      <c r="AG748" s="351"/>
      <c r="AH748" s="351"/>
      <c r="AI748" s="45" t="s">
        <v>2722</v>
      </c>
      <c r="AJ748" s="103"/>
      <c r="AK748" s="24"/>
      <c r="AL748" s="351"/>
      <c r="AM748" s="351"/>
      <c r="AN748" s="404" t="s">
        <v>2752</v>
      </c>
      <c r="AO748" s="45" t="s">
        <v>2713</v>
      </c>
      <c r="AP748" s="46" t="s">
        <v>2714</v>
      </c>
      <c r="AQ748" s="46" t="s">
        <v>2715</v>
      </c>
      <c r="AR748" s="47">
        <v>44063</v>
      </c>
      <c r="AS748" s="46" t="s">
        <v>2715</v>
      </c>
      <c r="AT748" s="47">
        <v>44111</v>
      </c>
      <c r="AU748" s="1107" t="s">
        <v>37</v>
      </c>
      <c r="AV748" s="402"/>
      <c r="AW748" s="402"/>
    </row>
    <row r="749" spans="1:49" ht="26.25" x14ac:dyDescent="0.25">
      <c r="A749" s="488"/>
      <c r="B749" s="131"/>
      <c r="C749" s="568"/>
      <c r="D749" s="568"/>
      <c r="E749" s="568"/>
      <c r="F749" s="75"/>
      <c r="G749" s="568"/>
      <c r="H749" s="118"/>
      <c r="I749" s="131"/>
      <c r="J749" s="188">
        <v>3004</v>
      </c>
      <c r="K749" s="76" t="s">
        <v>2730</v>
      </c>
      <c r="L749" s="915">
        <v>1960213.6369020001</v>
      </c>
      <c r="M749" s="915">
        <v>5766164.9409020003</v>
      </c>
      <c r="N749" s="118"/>
      <c r="O749" s="118" t="s">
        <v>2731</v>
      </c>
      <c r="P749" s="67" t="s">
        <v>2047</v>
      </c>
      <c r="Q749" s="118"/>
      <c r="R749" s="118"/>
      <c r="S749" s="118"/>
      <c r="T749" s="312" t="s">
        <v>2732</v>
      </c>
      <c r="U749" s="102" t="s">
        <v>16</v>
      </c>
      <c r="V749" s="24" t="s">
        <v>16</v>
      </c>
      <c r="W749" s="24" t="s">
        <v>16</v>
      </c>
      <c r="X749" s="117" t="s">
        <v>61</v>
      </c>
      <c r="Y749" s="117" t="s">
        <v>2733</v>
      </c>
      <c r="Z749" s="46" t="s">
        <v>261</v>
      </c>
      <c r="AA749" s="117" t="s">
        <v>419</v>
      </c>
      <c r="AB749" s="24" t="s">
        <v>2711</v>
      </c>
      <c r="AC749" s="405">
        <v>19.75</v>
      </c>
      <c r="AD749" s="24">
        <v>9.5</v>
      </c>
      <c r="AE749" s="24">
        <v>30</v>
      </c>
      <c r="AF749" s="24"/>
      <c r="AG749" s="351"/>
      <c r="AH749" s="351"/>
      <c r="AI749" s="45" t="s">
        <v>1915</v>
      </c>
      <c r="AJ749" s="103"/>
      <c r="AK749" s="24"/>
      <c r="AL749" s="351"/>
      <c r="AM749" s="351"/>
      <c r="AN749" s="403" t="s">
        <v>2712</v>
      </c>
      <c r="AO749" s="45" t="s">
        <v>2713</v>
      </c>
      <c r="AP749" s="46" t="s">
        <v>2714</v>
      </c>
      <c r="AQ749" s="46" t="s">
        <v>2715</v>
      </c>
      <c r="AR749" s="47">
        <v>44063</v>
      </c>
      <c r="AS749" s="46" t="s">
        <v>2715</v>
      </c>
      <c r="AT749" s="47">
        <v>44111</v>
      </c>
      <c r="AU749" s="1107" t="s">
        <v>37</v>
      </c>
      <c r="AV749" s="402"/>
      <c r="AW749" s="402"/>
    </row>
    <row r="750" spans="1:49" ht="26.25" x14ac:dyDescent="0.25">
      <c r="A750" s="488"/>
      <c r="B750" s="131"/>
      <c r="C750" s="568"/>
      <c r="D750" s="568"/>
      <c r="E750" s="568"/>
      <c r="F750" s="75"/>
      <c r="G750" s="568"/>
      <c r="H750" s="118"/>
      <c r="I750" s="131"/>
      <c r="J750" s="188">
        <v>3005</v>
      </c>
      <c r="K750" s="76" t="s">
        <v>2734</v>
      </c>
      <c r="L750" s="915">
        <v>1960394.2132029999</v>
      </c>
      <c r="M750" s="915">
        <v>5755557.6010980001</v>
      </c>
      <c r="N750" s="118"/>
      <c r="O750" s="118" t="s">
        <v>2735</v>
      </c>
      <c r="P750" s="67" t="s">
        <v>2047</v>
      </c>
      <c r="Q750" s="118"/>
      <c r="R750" s="118"/>
      <c r="S750" s="118"/>
      <c r="T750" s="312" t="s">
        <v>2736</v>
      </c>
      <c r="U750" s="102" t="s">
        <v>16</v>
      </c>
      <c r="V750" s="24" t="s">
        <v>16</v>
      </c>
      <c r="W750" s="24" t="s">
        <v>16</v>
      </c>
      <c r="X750" s="117" t="s">
        <v>61</v>
      </c>
      <c r="Y750" s="117" t="s">
        <v>2737</v>
      </c>
      <c r="Z750" s="46" t="s">
        <v>2738</v>
      </c>
      <c r="AA750" s="117" t="s">
        <v>419</v>
      </c>
      <c r="AB750" s="24">
        <v>13.8</v>
      </c>
      <c r="AC750" s="24">
        <v>13.8</v>
      </c>
      <c r="AD750" s="24"/>
      <c r="AE750" s="24">
        <v>13.8</v>
      </c>
      <c r="AF750" s="24"/>
      <c r="AG750" s="351"/>
      <c r="AH750" s="351"/>
      <c r="AI750" s="45" t="s">
        <v>1915</v>
      </c>
      <c r="AJ750" s="103"/>
      <c r="AK750" s="24"/>
      <c r="AL750" s="351"/>
      <c r="AM750" s="351"/>
      <c r="AN750" s="403" t="s">
        <v>2739</v>
      </c>
      <c r="AO750" s="45" t="s">
        <v>2740</v>
      </c>
      <c r="AP750" s="46" t="s">
        <v>2714</v>
      </c>
      <c r="AQ750" s="46" t="s">
        <v>2715</v>
      </c>
      <c r="AR750" s="47">
        <v>44064</v>
      </c>
      <c r="AS750" s="46" t="s">
        <v>2715</v>
      </c>
      <c r="AT750" s="47">
        <v>44111</v>
      </c>
      <c r="AU750" s="1107" t="s">
        <v>37</v>
      </c>
      <c r="AV750" s="402"/>
      <c r="AW750" s="402"/>
    </row>
    <row r="751" spans="1:49" ht="26.25" x14ac:dyDescent="0.25">
      <c r="A751" s="488"/>
      <c r="B751" s="131"/>
      <c r="C751" s="568"/>
      <c r="D751" s="568"/>
      <c r="E751" s="568"/>
      <c r="F751" s="75"/>
      <c r="G751" s="568"/>
      <c r="H751" s="118"/>
      <c r="I751" s="131"/>
      <c r="J751" s="188">
        <v>3006</v>
      </c>
      <c r="K751" s="76" t="s">
        <v>2741</v>
      </c>
      <c r="L751" s="915">
        <v>1960517.9176010001</v>
      </c>
      <c r="M751" s="915">
        <v>5754379.7055970002</v>
      </c>
      <c r="N751" s="118"/>
      <c r="O751" s="118" t="s">
        <v>2742</v>
      </c>
      <c r="P751" s="67" t="s">
        <v>2047</v>
      </c>
      <c r="Q751" s="118"/>
      <c r="R751" s="118"/>
      <c r="S751" s="118"/>
      <c r="T751" s="312" t="s">
        <v>2743</v>
      </c>
      <c r="U751" s="102" t="s">
        <v>16</v>
      </c>
      <c r="V751" s="24" t="s">
        <v>16</v>
      </c>
      <c r="W751" s="24" t="s">
        <v>16</v>
      </c>
      <c r="X751" s="117" t="s">
        <v>61</v>
      </c>
      <c r="Y751" s="117" t="s">
        <v>2744</v>
      </c>
      <c r="Z751" s="46" t="s">
        <v>798</v>
      </c>
      <c r="AA751" s="117" t="s">
        <v>419</v>
      </c>
      <c r="AB751" s="24" t="s">
        <v>2745</v>
      </c>
      <c r="AC751" s="24">
        <v>10.9</v>
      </c>
      <c r="AD751" s="24">
        <v>8</v>
      </c>
      <c r="AE751" s="24">
        <v>13.8</v>
      </c>
      <c r="AF751" s="24"/>
      <c r="AG751" s="351"/>
      <c r="AH751" s="351"/>
      <c r="AI751" s="45" t="s">
        <v>1915</v>
      </c>
      <c r="AJ751" s="103"/>
      <c r="AK751" s="24"/>
      <c r="AL751" s="351"/>
      <c r="AM751" s="351"/>
      <c r="AN751" s="403" t="s">
        <v>2712</v>
      </c>
      <c r="AO751" s="45" t="s">
        <v>2713</v>
      </c>
      <c r="AP751" s="46" t="s">
        <v>2714</v>
      </c>
      <c r="AQ751" s="46" t="s">
        <v>2715</v>
      </c>
      <c r="AR751" s="47">
        <v>44064</v>
      </c>
      <c r="AS751" s="46" t="s">
        <v>2715</v>
      </c>
      <c r="AT751" s="47">
        <v>44111</v>
      </c>
      <c r="AU751" s="1107" t="s">
        <v>37</v>
      </c>
      <c r="AV751" s="402"/>
      <c r="AW751" s="402"/>
    </row>
    <row r="752" spans="1:49" ht="26.25" x14ac:dyDescent="0.25">
      <c r="A752" s="488"/>
      <c r="B752" s="131"/>
      <c r="C752" s="568"/>
      <c r="D752" s="568"/>
      <c r="E752" s="568"/>
      <c r="F752" s="75"/>
      <c r="G752" s="568"/>
      <c r="H752" s="118"/>
      <c r="I752" s="131"/>
      <c r="J752" s="188">
        <v>3007</v>
      </c>
      <c r="K752" s="76" t="s">
        <v>2746</v>
      </c>
      <c r="L752" s="915">
        <v>1960422.352401</v>
      </c>
      <c r="M752" s="915">
        <v>5753071.5546970004</v>
      </c>
      <c r="N752" s="118"/>
      <c r="O752" s="118" t="s">
        <v>2747</v>
      </c>
      <c r="P752" s="67" t="s">
        <v>2047</v>
      </c>
      <c r="Q752" s="118"/>
      <c r="R752" s="118"/>
      <c r="S752" s="118"/>
      <c r="T752" s="312" t="s">
        <v>2748</v>
      </c>
      <c r="U752" s="102" t="s">
        <v>16</v>
      </c>
      <c r="V752" s="24" t="s">
        <v>16</v>
      </c>
      <c r="W752" s="24" t="s">
        <v>16</v>
      </c>
      <c r="X752" s="117" t="s">
        <v>61</v>
      </c>
      <c r="Y752" s="117" t="s">
        <v>2749</v>
      </c>
      <c r="Z752" s="46" t="s">
        <v>2720</v>
      </c>
      <c r="AA752" s="117" t="s">
        <v>419</v>
      </c>
      <c r="AB752" s="24">
        <v>5.6</v>
      </c>
      <c r="AC752" s="24">
        <v>5.6</v>
      </c>
      <c r="AD752" s="24"/>
      <c r="AE752" s="24">
        <v>5.6</v>
      </c>
      <c r="AF752" s="24"/>
      <c r="AG752" s="351"/>
      <c r="AH752" s="351"/>
      <c r="AI752" s="45" t="s">
        <v>1915</v>
      </c>
      <c r="AJ752" s="103"/>
      <c r="AK752" s="24"/>
      <c r="AL752" s="351"/>
      <c r="AM752" s="351"/>
      <c r="AN752" s="403" t="s">
        <v>2750</v>
      </c>
      <c r="AO752" s="45" t="s">
        <v>2740</v>
      </c>
      <c r="AP752" s="46" t="s">
        <v>2714</v>
      </c>
      <c r="AQ752" s="46" t="s">
        <v>2715</v>
      </c>
      <c r="AR752" s="47">
        <v>44064</v>
      </c>
      <c r="AS752" s="46" t="s">
        <v>2715</v>
      </c>
      <c r="AT752" s="47">
        <v>44111</v>
      </c>
      <c r="AU752" s="1107" t="s">
        <v>37</v>
      </c>
      <c r="AV752" s="402"/>
      <c r="AW752" s="402"/>
    </row>
    <row r="753" spans="1:47" ht="39" x14ac:dyDescent="0.25">
      <c r="A753" s="488"/>
      <c r="B753" s="131"/>
      <c r="C753" s="75"/>
      <c r="D753" s="568"/>
      <c r="E753" s="568"/>
      <c r="F753" s="75"/>
      <c r="G753" s="75"/>
      <c r="H753" s="118"/>
      <c r="I753" s="131"/>
      <c r="J753" s="188">
        <v>3030</v>
      </c>
      <c r="K753" s="76" t="s">
        <v>2855</v>
      </c>
      <c r="L753" s="915">
        <v>1960496.0942009999</v>
      </c>
      <c r="M753" s="915">
        <v>5754668.9325970002</v>
      </c>
      <c r="N753" s="118"/>
      <c r="O753" s="118" t="s">
        <v>2856</v>
      </c>
      <c r="P753" s="67" t="s">
        <v>2047</v>
      </c>
      <c r="Q753" s="118"/>
      <c r="R753" s="118"/>
      <c r="S753" s="118"/>
      <c r="T753" s="312" t="s">
        <v>2857</v>
      </c>
      <c r="U753" s="102" t="s">
        <v>85</v>
      </c>
      <c r="V753" s="24" t="s">
        <v>85</v>
      </c>
      <c r="W753" s="24" t="s">
        <v>85</v>
      </c>
      <c r="X753" s="24" t="s">
        <v>194</v>
      </c>
      <c r="Y753" s="117" t="s">
        <v>2858</v>
      </c>
      <c r="Z753" s="46" t="s">
        <v>2727</v>
      </c>
      <c r="AA753" s="24">
        <v>1</v>
      </c>
      <c r="AB753" s="24">
        <v>9.5</v>
      </c>
      <c r="AC753" s="24">
        <v>9.5</v>
      </c>
      <c r="AD753" s="24"/>
      <c r="AE753" s="24"/>
      <c r="AF753" s="24"/>
      <c r="AG753" s="351"/>
      <c r="AH753" s="351"/>
      <c r="AI753" s="45" t="s">
        <v>2722</v>
      </c>
      <c r="AJ753" s="103"/>
      <c r="AK753" s="24"/>
      <c r="AL753" s="351"/>
      <c r="AM753" s="351"/>
      <c r="AN753" s="404" t="s">
        <v>2859</v>
      </c>
      <c r="AO753" s="45" t="s">
        <v>2846</v>
      </c>
      <c r="AP753" s="46" t="s">
        <v>2860</v>
      </c>
      <c r="AQ753" s="46" t="s">
        <v>2715</v>
      </c>
      <c r="AR753" s="47">
        <v>44068</v>
      </c>
      <c r="AS753" s="46" t="s">
        <v>2715</v>
      </c>
      <c r="AT753" s="47">
        <v>44111</v>
      </c>
      <c r="AU753" s="1107" t="s">
        <v>37</v>
      </c>
    </row>
    <row r="754" spans="1:47" ht="39" x14ac:dyDescent="0.25">
      <c r="A754" s="488"/>
      <c r="B754" s="131"/>
      <c r="C754" s="568"/>
      <c r="D754" s="568"/>
      <c r="E754" s="568"/>
      <c r="F754" s="75"/>
      <c r="G754" s="568"/>
      <c r="H754" s="118"/>
      <c r="I754" s="131"/>
      <c r="J754" s="188">
        <v>3031</v>
      </c>
      <c r="K754" s="76" t="s">
        <v>2861</v>
      </c>
      <c r="L754" s="915">
        <v>1960496.0942009999</v>
      </c>
      <c r="M754" s="915">
        <v>5754668.9325970002</v>
      </c>
      <c r="N754" s="118"/>
      <c r="O754" s="118" t="s">
        <v>2856</v>
      </c>
      <c r="P754" s="67" t="s">
        <v>2047</v>
      </c>
      <c r="Q754" s="118"/>
      <c r="R754" s="118"/>
      <c r="S754" s="118"/>
      <c r="T754" s="312" t="s">
        <v>2857</v>
      </c>
      <c r="U754" s="102" t="s">
        <v>85</v>
      </c>
      <c r="V754" s="24" t="s">
        <v>85</v>
      </c>
      <c r="W754" s="24" t="s">
        <v>85</v>
      </c>
      <c r="X754" s="24" t="s">
        <v>194</v>
      </c>
      <c r="Y754" s="117" t="s">
        <v>2858</v>
      </c>
      <c r="Z754" s="46" t="s">
        <v>2727</v>
      </c>
      <c r="AA754" s="24">
        <v>1</v>
      </c>
      <c r="AB754" s="24">
        <v>9.5</v>
      </c>
      <c r="AC754" s="24">
        <v>9.5</v>
      </c>
      <c r="AD754" s="24"/>
      <c r="AE754" s="24"/>
      <c r="AF754" s="24"/>
      <c r="AG754" s="351"/>
      <c r="AH754" s="351"/>
      <c r="AI754" s="45" t="s">
        <v>1915</v>
      </c>
      <c r="AJ754" s="103"/>
      <c r="AK754" s="24"/>
      <c r="AL754" s="351"/>
      <c r="AM754" s="351"/>
      <c r="AN754" s="404" t="s">
        <v>2862</v>
      </c>
      <c r="AO754" s="45" t="s">
        <v>2846</v>
      </c>
      <c r="AP754" s="46" t="s">
        <v>2860</v>
      </c>
      <c r="AQ754" s="46" t="s">
        <v>2715</v>
      </c>
      <c r="AR754" s="47">
        <v>44068</v>
      </c>
      <c r="AS754" s="46" t="s">
        <v>2715</v>
      </c>
      <c r="AT754" s="47">
        <v>44111</v>
      </c>
      <c r="AU754" s="1107" t="s">
        <v>37</v>
      </c>
    </row>
    <row r="755" spans="1:47" ht="27" thickBot="1" x14ac:dyDescent="0.3">
      <c r="A755" s="489"/>
      <c r="B755" s="133"/>
      <c r="C755" s="569"/>
      <c r="D755" s="569"/>
      <c r="E755" s="569"/>
      <c r="F755" s="78"/>
      <c r="G755" s="569"/>
      <c r="H755" s="119"/>
      <c r="I755" s="133"/>
      <c r="J755" s="192">
        <v>3033</v>
      </c>
      <c r="K755" s="79" t="s">
        <v>2863</v>
      </c>
      <c r="L755" s="916">
        <v>1962521.144502</v>
      </c>
      <c r="M755" s="916">
        <v>5776281.5751350001</v>
      </c>
      <c r="N755" s="119"/>
      <c r="O755" s="119" t="s">
        <v>2864</v>
      </c>
      <c r="P755" s="69" t="s">
        <v>2047</v>
      </c>
      <c r="Q755" s="119"/>
      <c r="R755" s="119"/>
      <c r="S755" s="119"/>
      <c r="T755" s="233" t="s">
        <v>2865</v>
      </c>
      <c r="U755" s="104" t="s">
        <v>16</v>
      </c>
      <c r="V755" s="25" t="s">
        <v>85</v>
      </c>
      <c r="W755" s="25" t="s">
        <v>85</v>
      </c>
      <c r="X755" s="25" t="s">
        <v>5</v>
      </c>
      <c r="Y755" s="120" t="s">
        <v>2866</v>
      </c>
      <c r="Z755" s="52" t="s">
        <v>798</v>
      </c>
      <c r="AA755" s="25">
        <v>1</v>
      </c>
      <c r="AB755" s="25" t="s">
        <v>2721</v>
      </c>
      <c r="AC755" s="25">
        <v>19</v>
      </c>
      <c r="AD755" s="25">
        <v>15</v>
      </c>
      <c r="AE755" s="25">
        <v>23</v>
      </c>
      <c r="AF755" s="25"/>
      <c r="AG755" s="386"/>
      <c r="AH755" s="386"/>
      <c r="AI755" s="51" t="s">
        <v>2722</v>
      </c>
      <c r="AJ755" s="105"/>
      <c r="AK755" s="25"/>
      <c r="AL755" s="386"/>
      <c r="AM755" s="386"/>
      <c r="AN755" s="391" t="s">
        <v>2867</v>
      </c>
      <c r="AO755" s="52" t="s">
        <v>2868</v>
      </c>
      <c r="AP755" s="52" t="s">
        <v>6988</v>
      </c>
      <c r="AQ755" s="52" t="s">
        <v>2715</v>
      </c>
      <c r="AR755" s="53">
        <v>44068</v>
      </c>
      <c r="AS755" s="52" t="s">
        <v>2715</v>
      </c>
      <c r="AT755" s="53">
        <v>44111</v>
      </c>
      <c r="AU755" s="653" t="s">
        <v>37</v>
      </c>
    </row>
    <row r="756" spans="1:47" ht="26.25" x14ac:dyDescent="0.25">
      <c r="A756" s="808" t="s">
        <v>2706</v>
      </c>
      <c r="B756" s="474" t="s">
        <v>6816</v>
      </c>
      <c r="C756" s="436">
        <v>270</v>
      </c>
      <c r="D756" s="576" t="s">
        <v>53</v>
      </c>
      <c r="E756" s="576" t="s">
        <v>57</v>
      </c>
      <c r="F756" s="436" t="s">
        <v>152</v>
      </c>
      <c r="G756" s="709" t="s">
        <v>3061</v>
      </c>
      <c r="H756" s="583" t="s">
        <v>5036</v>
      </c>
      <c r="I756" s="423" t="s">
        <v>6817</v>
      </c>
      <c r="J756" s="194">
        <v>2600</v>
      </c>
      <c r="K756" s="475" t="s">
        <v>5466</v>
      </c>
      <c r="L756" s="937">
        <v>1927679.9417000001</v>
      </c>
      <c r="M756" s="937">
        <v>5676265.5025000004</v>
      </c>
      <c r="N756" s="583">
        <v>20</v>
      </c>
      <c r="O756" s="583" t="s">
        <v>5467</v>
      </c>
      <c r="P756" s="436" t="s">
        <v>5</v>
      </c>
      <c r="Q756" s="583"/>
      <c r="R756" s="583"/>
      <c r="S756" s="583"/>
      <c r="T756" s="175" t="s">
        <v>5467</v>
      </c>
      <c r="U756" s="102" t="s">
        <v>16</v>
      </c>
      <c r="V756" s="2" t="s">
        <v>85</v>
      </c>
      <c r="W756" s="2" t="s">
        <v>16</v>
      </c>
      <c r="X756" s="2" t="s">
        <v>5</v>
      </c>
      <c r="Y756" s="148" t="s">
        <v>5468</v>
      </c>
      <c r="Z756" s="3" t="s">
        <v>5722</v>
      </c>
      <c r="AA756" s="2">
        <v>2</v>
      </c>
      <c r="AB756" s="337" t="s">
        <v>5246</v>
      </c>
      <c r="AC756" s="2">
        <v>14</v>
      </c>
      <c r="AF756" s="2">
        <v>6</v>
      </c>
      <c r="AI756" s="16" t="s">
        <v>5716</v>
      </c>
      <c r="AJ756" s="148" t="s">
        <v>3459</v>
      </c>
      <c r="AK756" s="2"/>
      <c r="AN756" s="3" t="s">
        <v>5469</v>
      </c>
      <c r="AO756" s="3" t="s">
        <v>5470</v>
      </c>
      <c r="AP756" s="3" t="s">
        <v>1462</v>
      </c>
      <c r="AQ756" s="3" t="s">
        <v>3457</v>
      </c>
      <c r="AR756" s="186">
        <v>44229</v>
      </c>
      <c r="AS756" s="3" t="s">
        <v>3457</v>
      </c>
      <c r="AT756" s="186">
        <v>44267</v>
      </c>
      <c r="AU756" s="1107" t="s">
        <v>37</v>
      </c>
    </row>
    <row r="757" spans="1:47" ht="39.75" thickBot="1" x14ac:dyDescent="0.3">
      <c r="A757" s="808"/>
      <c r="B757" s="550"/>
      <c r="C757" s="161"/>
      <c r="D757" s="573"/>
      <c r="E757" s="573"/>
      <c r="F757" s="161"/>
      <c r="G757" s="161"/>
      <c r="H757" s="163"/>
      <c r="I757" s="423"/>
      <c r="J757" s="195">
        <v>2601</v>
      </c>
      <c r="K757" s="435" t="s">
        <v>5471</v>
      </c>
      <c r="L757" s="925">
        <v>1927975.2988</v>
      </c>
      <c r="M757" s="925">
        <v>5677970.4134</v>
      </c>
      <c r="N757" s="167">
        <v>0</v>
      </c>
      <c r="O757" s="167" t="s">
        <v>1586</v>
      </c>
      <c r="P757" s="165" t="s">
        <v>194</v>
      </c>
      <c r="Q757" s="1094"/>
      <c r="R757" s="1094"/>
      <c r="S757" s="1094"/>
      <c r="T757" s="200" t="s">
        <v>5714</v>
      </c>
      <c r="U757" s="104" t="s">
        <v>16</v>
      </c>
      <c r="V757" s="25" t="s">
        <v>16</v>
      </c>
      <c r="W757" s="25" t="s">
        <v>16</v>
      </c>
      <c r="X757" s="25" t="s">
        <v>194</v>
      </c>
      <c r="Y757" s="105" t="s">
        <v>5472</v>
      </c>
      <c r="Z757" s="52" t="s">
        <v>604</v>
      </c>
      <c r="AA757" s="25">
        <v>2</v>
      </c>
      <c r="AB757" s="335" t="s">
        <v>5473</v>
      </c>
      <c r="AC757" s="25">
        <v>13</v>
      </c>
      <c r="AD757" s="25"/>
      <c r="AE757" s="25"/>
      <c r="AF757" s="25">
        <v>5</v>
      </c>
      <c r="AG757" s="386"/>
      <c r="AH757" s="386"/>
      <c r="AI757" s="51" t="s">
        <v>5716</v>
      </c>
      <c r="AJ757" s="105" t="s">
        <v>3459</v>
      </c>
      <c r="AK757" s="25"/>
      <c r="AL757" s="386">
        <v>2</v>
      </c>
      <c r="AM757" s="386"/>
      <c r="AN757" s="52" t="s">
        <v>5719</v>
      </c>
      <c r="AO757" s="52" t="s">
        <v>5474</v>
      </c>
      <c r="AP757" s="52" t="s">
        <v>1462</v>
      </c>
      <c r="AQ757" s="52" t="s">
        <v>3457</v>
      </c>
      <c r="AR757" s="53">
        <v>44246</v>
      </c>
      <c r="AS757" s="52" t="s">
        <v>3457</v>
      </c>
      <c r="AT757" s="53">
        <v>44267</v>
      </c>
      <c r="AU757" s="653" t="s">
        <v>37</v>
      </c>
    </row>
    <row r="758" spans="1:47" ht="51.75" x14ac:dyDescent="0.25">
      <c r="A758" s="341" t="s">
        <v>1706</v>
      </c>
      <c r="B758" s="181" t="s">
        <v>4995</v>
      </c>
      <c r="C758" s="125">
        <v>521</v>
      </c>
      <c r="D758" s="585" t="s">
        <v>52</v>
      </c>
      <c r="E758" s="585"/>
      <c r="F758" s="125" t="s">
        <v>1553</v>
      </c>
      <c r="G758" s="125" t="s">
        <v>1263</v>
      </c>
      <c r="H758" s="126" t="s">
        <v>5606</v>
      </c>
      <c r="I758" s="247" t="s">
        <v>5600</v>
      </c>
      <c r="J758" s="252">
        <v>1191</v>
      </c>
      <c r="K758" s="253" t="s">
        <v>1705</v>
      </c>
      <c r="L758" s="952">
        <v>1610341.777</v>
      </c>
      <c r="M758" s="952">
        <v>5417447.1106000002</v>
      </c>
      <c r="N758" s="255"/>
      <c r="O758" s="255" t="s">
        <v>1704</v>
      </c>
      <c r="P758" s="254" t="s">
        <v>194</v>
      </c>
      <c r="Q758" s="553"/>
      <c r="R758" s="553"/>
      <c r="S758" s="553"/>
      <c r="T758" s="289" t="s">
        <v>5606</v>
      </c>
      <c r="U758" s="31" t="s">
        <v>16</v>
      </c>
      <c r="V758" s="31" t="s">
        <v>16</v>
      </c>
      <c r="W758" s="31" t="s">
        <v>16</v>
      </c>
      <c r="X758" s="97" t="s">
        <v>194</v>
      </c>
      <c r="Y758" s="340" t="s">
        <v>1703</v>
      </c>
      <c r="Z758" s="40" t="s">
        <v>24</v>
      </c>
      <c r="AA758" s="31"/>
      <c r="AB758" s="31" t="s">
        <v>1702</v>
      </c>
      <c r="AC758" s="31">
        <v>6.23</v>
      </c>
      <c r="AD758" s="31">
        <v>5.65</v>
      </c>
      <c r="AE758" s="31">
        <v>6.81</v>
      </c>
      <c r="AF758" s="31"/>
      <c r="AG758" s="372"/>
      <c r="AH758" s="372"/>
      <c r="AI758" s="30" t="s">
        <v>549</v>
      </c>
      <c r="AJ758" s="31"/>
      <c r="AK758" s="31"/>
      <c r="AL758" s="372"/>
      <c r="AM758" s="372"/>
      <c r="AN758" s="40" t="s">
        <v>1692</v>
      </c>
      <c r="AO758" s="40" t="s">
        <v>1701</v>
      </c>
      <c r="AP758" s="40" t="s">
        <v>1691</v>
      </c>
      <c r="AQ758" s="40" t="s">
        <v>1380</v>
      </c>
      <c r="AR758" s="41">
        <v>44246</v>
      </c>
      <c r="AS758" s="40" t="s">
        <v>1380</v>
      </c>
      <c r="AT758" s="41">
        <v>44098</v>
      </c>
      <c r="AU758" s="652" t="s">
        <v>37</v>
      </c>
    </row>
    <row r="759" spans="1:47" ht="39" x14ac:dyDescent="0.25">
      <c r="A759" s="339"/>
      <c r="B759" s="338"/>
      <c r="C759" s="277"/>
      <c r="D759" s="565"/>
      <c r="E759" s="565"/>
      <c r="F759" s="277"/>
      <c r="G759" s="277"/>
      <c r="H759" s="276"/>
      <c r="I759" s="122"/>
      <c r="J759" s="257">
        <v>1192</v>
      </c>
      <c r="K759" s="366" t="s">
        <v>1700</v>
      </c>
      <c r="L759" s="965">
        <v>1610459.7042</v>
      </c>
      <c r="M759" s="965">
        <v>5417580.8175999997</v>
      </c>
      <c r="N759" s="275"/>
      <c r="O759" s="275" t="s">
        <v>1699</v>
      </c>
      <c r="P759" s="320" t="s">
        <v>194</v>
      </c>
      <c r="Q759" s="554"/>
      <c r="R759" s="554"/>
      <c r="S759" s="554"/>
      <c r="T759" s="283" t="s">
        <v>5607</v>
      </c>
      <c r="U759" s="2" t="s">
        <v>16</v>
      </c>
      <c r="V759" s="2" t="s">
        <v>16</v>
      </c>
      <c r="W759" s="2" t="s">
        <v>16</v>
      </c>
      <c r="X759" s="185" t="s">
        <v>194</v>
      </c>
      <c r="Y759" s="337" t="s">
        <v>1698</v>
      </c>
      <c r="Z759" s="3" t="s">
        <v>604</v>
      </c>
      <c r="AB759" s="2" t="s">
        <v>1697</v>
      </c>
      <c r="AC759" s="2">
        <v>12.8</v>
      </c>
      <c r="AD759" s="2">
        <v>11.8</v>
      </c>
      <c r="AE759" s="2">
        <v>13.8</v>
      </c>
      <c r="AI759" s="16" t="s">
        <v>23</v>
      </c>
      <c r="AJ759" s="2"/>
      <c r="AK759" s="2"/>
      <c r="AN759" s="3" t="s">
        <v>1692</v>
      </c>
      <c r="AO759" s="3" t="s">
        <v>1696</v>
      </c>
      <c r="AP759" s="3" t="s">
        <v>1691</v>
      </c>
      <c r="AQ759" s="3" t="s">
        <v>1380</v>
      </c>
      <c r="AR759" s="186">
        <v>44246</v>
      </c>
      <c r="AS759" s="3" t="s">
        <v>1380</v>
      </c>
      <c r="AT759" s="186">
        <v>44098</v>
      </c>
      <c r="AU759" s="1107" t="s">
        <v>37</v>
      </c>
    </row>
    <row r="760" spans="1:47" ht="39.75" thickBot="1" x14ac:dyDescent="0.3">
      <c r="A760" s="336"/>
      <c r="B760" s="196"/>
      <c r="C760" s="96"/>
      <c r="D760" s="566"/>
      <c r="E760" s="566"/>
      <c r="F760" s="96"/>
      <c r="G760" s="96"/>
      <c r="H760" s="107"/>
      <c r="I760" s="123"/>
      <c r="J760" s="260">
        <v>1193</v>
      </c>
      <c r="K760" s="363" t="s">
        <v>1695</v>
      </c>
      <c r="L760" s="954">
        <v>1610282.9622</v>
      </c>
      <c r="M760" s="954">
        <v>5417407.7797999997</v>
      </c>
      <c r="N760" s="262"/>
      <c r="O760" s="262" t="s">
        <v>1694</v>
      </c>
      <c r="P760" s="261" t="s">
        <v>194</v>
      </c>
      <c r="Q760" s="555"/>
      <c r="R760" s="555"/>
      <c r="S760" s="555"/>
      <c r="T760" s="274" t="s">
        <v>5608</v>
      </c>
      <c r="U760" s="25" t="s">
        <v>16</v>
      </c>
      <c r="V760" s="25" t="s">
        <v>85</v>
      </c>
      <c r="W760" s="25" t="s">
        <v>16</v>
      </c>
      <c r="X760" s="120" t="s">
        <v>194</v>
      </c>
      <c r="Y760" s="335" t="s">
        <v>1693</v>
      </c>
      <c r="Z760" s="52" t="s">
        <v>604</v>
      </c>
      <c r="AA760" s="25"/>
      <c r="AB760" s="25" t="s">
        <v>387</v>
      </c>
      <c r="AC760" s="25">
        <v>18</v>
      </c>
      <c r="AD760" s="25">
        <v>16</v>
      </c>
      <c r="AE760" s="25">
        <v>20</v>
      </c>
      <c r="AF760" s="25"/>
      <c r="AG760" s="386"/>
      <c r="AH760" s="386"/>
      <c r="AI760" s="51" t="s">
        <v>256</v>
      </c>
      <c r="AJ760" s="25"/>
      <c r="AK760" s="25"/>
      <c r="AL760" s="386"/>
      <c r="AM760" s="386"/>
      <c r="AN760" s="52" t="s">
        <v>1692</v>
      </c>
      <c r="AO760" s="52" t="s">
        <v>6989</v>
      </c>
      <c r="AP760" s="52" t="s">
        <v>1691</v>
      </c>
      <c r="AQ760" s="52" t="s">
        <v>1380</v>
      </c>
      <c r="AR760" s="53">
        <v>44246</v>
      </c>
      <c r="AS760" s="52" t="s">
        <v>1380</v>
      </c>
      <c r="AT760" s="53">
        <v>44098</v>
      </c>
      <c r="AU760" s="653" t="s">
        <v>37</v>
      </c>
    </row>
    <row r="761" spans="1:47" ht="51.75" x14ac:dyDescent="0.25">
      <c r="A761" s="487" t="s">
        <v>2753</v>
      </c>
      <c r="B761" s="128" t="s">
        <v>6827</v>
      </c>
      <c r="C761" s="72">
        <v>262</v>
      </c>
      <c r="D761" s="586" t="s">
        <v>57</v>
      </c>
      <c r="E761" s="586" t="s">
        <v>53</v>
      </c>
      <c r="F761" s="72" t="s">
        <v>2754</v>
      </c>
      <c r="G761" s="140" t="s">
        <v>4996</v>
      </c>
      <c r="H761" s="129" t="s">
        <v>671</v>
      </c>
      <c r="I761" s="381" t="s">
        <v>150</v>
      </c>
      <c r="J761" s="187">
        <v>3008</v>
      </c>
      <c r="K761" s="73" t="s">
        <v>2755</v>
      </c>
      <c r="L761" s="914">
        <v>1935262.727004</v>
      </c>
      <c r="M761" s="914">
        <v>5768327.1726360004</v>
      </c>
      <c r="N761" s="129"/>
      <c r="O761" s="129" t="s">
        <v>1894</v>
      </c>
      <c r="P761" s="64" t="s">
        <v>2047</v>
      </c>
      <c r="Q761" s="129"/>
      <c r="R761" s="129"/>
      <c r="S761" s="129"/>
      <c r="T761" s="303" t="s">
        <v>2756</v>
      </c>
      <c r="U761" s="101" t="s">
        <v>85</v>
      </c>
      <c r="V761" s="31" t="s">
        <v>16</v>
      </c>
      <c r="W761" s="31" t="s">
        <v>16</v>
      </c>
      <c r="X761" s="31" t="s">
        <v>194</v>
      </c>
      <c r="Y761" s="31" t="s">
        <v>2757</v>
      </c>
      <c r="Z761" s="40" t="s">
        <v>2727</v>
      </c>
      <c r="AA761" s="31">
        <v>1</v>
      </c>
      <c r="AB761" s="31">
        <v>17.8</v>
      </c>
      <c r="AC761" s="31">
        <v>17.8</v>
      </c>
      <c r="AD761" s="31"/>
      <c r="AE761" s="31"/>
      <c r="AF761" s="31"/>
      <c r="AG761" s="372"/>
      <c r="AH761" s="372"/>
      <c r="AI761" s="30" t="s">
        <v>2722</v>
      </c>
      <c r="AJ761" s="130"/>
      <c r="AK761" s="31"/>
      <c r="AL761" s="372"/>
      <c r="AM761" s="372"/>
      <c r="AN761" s="389" t="s">
        <v>2758</v>
      </c>
      <c r="AO761" s="30" t="s">
        <v>2740</v>
      </c>
      <c r="AP761" s="406" t="s">
        <v>2759</v>
      </c>
      <c r="AQ761" s="40" t="s">
        <v>2715</v>
      </c>
      <c r="AR761" s="41">
        <v>44064</v>
      </c>
      <c r="AS761" s="40" t="s">
        <v>2715</v>
      </c>
      <c r="AT761" s="41">
        <v>44111</v>
      </c>
      <c r="AU761" s="652" t="s">
        <v>37</v>
      </c>
    </row>
    <row r="762" spans="1:47" ht="26.25" x14ac:dyDescent="0.25">
      <c r="A762" s="488"/>
      <c r="B762" s="486"/>
      <c r="C762" s="572"/>
      <c r="D762" s="572"/>
      <c r="E762" s="572"/>
      <c r="F762" s="407"/>
      <c r="G762" s="572"/>
      <c r="H762" s="541"/>
      <c r="I762" s="121"/>
      <c r="J762" s="188">
        <v>3009</v>
      </c>
      <c r="K762" s="547" t="s">
        <v>2760</v>
      </c>
      <c r="L762" s="926">
        <v>1937179.700404</v>
      </c>
      <c r="M762" s="926">
        <v>5763643.7128339997</v>
      </c>
      <c r="N762" s="541"/>
      <c r="O762" s="541" t="s">
        <v>1894</v>
      </c>
      <c r="P762" s="408" t="s">
        <v>2047</v>
      </c>
      <c r="Q762" s="541"/>
      <c r="R762" s="541"/>
      <c r="S762" s="541"/>
      <c r="T762" s="305" t="s">
        <v>671</v>
      </c>
      <c r="U762" s="102" t="s">
        <v>16</v>
      </c>
      <c r="V762" s="2" t="s">
        <v>16</v>
      </c>
      <c r="W762" s="2" t="s">
        <v>16</v>
      </c>
      <c r="X762" s="185" t="s">
        <v>2761</v>
      </c>
      <c r="Y762" s="185" t="s">
        <v>2762</v>
      </c>
      <c r="Z762" s="3" t="s">
        <v>798</v>
      </c>
      <c r="AA762" s="185" t="s">
        <v>419</v>
      </c>
      <c r="AB762" s="2">
        <v>13.8</v>
      </c>
      <c r="AC762" s="2">
        <v>13.8</v>
      </c>
      <c r="AI762" s="16" t="s">
        <v>1915</v>
      </c>
      <c r="AK762" s="2"/>
      <c r="AN762" s="280" t="s">
        <v>2763</v>
      </c>
      <c r="AO762" s="16" t="s">
        <v>2740</v>
      </c>
      <c r="AP762" s="3" t="s">
        <v>2714</v>
      </c>
      <c r="AQ762" s="3" t="s">
        <v>2715</v>
      </c>
      <c r="AR762" s="186">
        <v>44064</v>
      </c>
      <c r="AS762" s="3" t="s">
        <v>2715</v>
      </c>
      <c r="AT762" s="186">
        <v>44111</v>
      </c>
      <c r="AU762" s="1107" t="s">
        <v>37</v>
      </c>
    </row>
    <row r="763" spans="1:47" ht="39.75" thickBot="1" x14ac:dyDescent="0.3">
      <c r="A763" s="489"/>
      <c r="B763" s="133"/>
      <c r="C763" s="569"/>
      <c r="D763" s="569"/>
      <c r="E763" s="569"/>
      <c r="F763" s="78"/>
      <c r="G763" s="569"/>
      <c r="H763" s="119"/>
      <c r="I763" s="429"/>
      <c r="J763" s="192">
        <v>3010</v>
      </c>
      <c r="K763" s="79" t="s">
        <v>2764</v>
      </c>
      <c r="L763" s="916">
        <v>1934516.5360010001</v>
      </c>
      <c r="M763" s="916">
        <v>5744208.5712230001</v>
      </c>
      <c r="N763" s="119"/>
      <c r="O763" s="119" t="s">
        <v>1894</v>
      </c>
      <c r="P763" s="69" t="s">
        <v>2047</v>
      </c>
      <c r="Q763" s="119"/>
      <c r="R763" s="119"/>
      <c r="S763" s="119"/>
      <c r="T763" s="322" t="s">
        <v>671</v>
      </c>
      <c r="U763" s="104" t="s">
        <v>85</v>
      </c>
      <c r="V763" s="25" t="s">
        <v>16</v>
      </c>
      <c r="W763" s="25" t="s">
        <v>16</v>
      </c>
      <c r="X763" s="25" t="s">
        <v>194</v>
      </c>
      <c r="Y763" s="25" t="s">
        <v>2765</v>
      </c>
      <c r="Z763" s="52" t="s">
        <v>2727</v>
      </c>
      <c r="AA763" s="25">
        <v>1</v>
      </c>
      <c r="AB763" s="25">
        <v>17.600000000000001</v>
      </c>
      <c r="AC763" s="25">
        <v>17.600000000000001</v>
      </c>
      <c r="AD763" s="25"/>
      <c r="AE763" s="25"/>
      <c r="AF763" s="25"/>
      <c r="AG763" s="386"/>
      <c r="AH763" s="386"/>
      <c r="AI763" s="51" t="s">
        <v>1915</v>
      </c>
      <c r="AJ763" s="105"/>
      <c r="AK763" s="25"/>
      <c r="AL763" s="386"/>
      <c r="AM763" s="386"/>
      <c r="AN763" s="391" t="s">
        <v>2766</v>
      </c>
      <c r="AO763" s="51" t="s">
        <v>2740</v>
      </c>
      <c r="AP763" s="409" t="s">
        <v>2767</v>
      </c>
      <c r="AQ763" s="52" t="s">
        <v>2715</v>
      </c>
      <c r="AR763" s="53">
        <v>44064</v>
      </c>
      <c r="AS763" s="52" t="s">
        <v>2715</v>
      </c>
      <c r="AT763" s="53">
        <v>44111</v>
      </c>
      <c r="AU763" s="653" t="s">
        <v>37</v>
      </c>
    </row>
    <row r="764" spans="1:47" ht="26.25" x14ac:dyDescent="0.25">
      <c r="A764" s="341" t="s">
        <v>2819</v>
      </c>
      <c r="B764" s="181" t="s">
        <v>5633</v>
      </c>
      <c r="C764" s="125">
        <v>273</v>
      </c>
      <c r="D764" s="585" t="s">
        <v>53</v>
      </c>
      <c r="E764" s="585" t="s">
        <v>57</v>
      </c>
      <c r="F764" s="125" t="s">
        <v>325</v>
      </c>
      <c r="G764" s="145" t="s">
        <v>3061</v>
      </c>
      <c r="H764" s="126" t="s">
        <v>1677</v>
      </c>
      <c r="I764" s="247" t="s">
        <v>150</v>
      </c>
      <c r="J764" s="189">
        <v>3024</v>
      </c>
      <c r="K764" s="355" t="s">
        <v>2820</v>
      </c>
      <c r="L764" s="911">
        <v>1966535.4864060001</v>
      </c>
      <c r="M764" s="911">
        <v>5778289.9611780001</v>
      </c>
      <c r="N764" s="126"/>
      <c r="O764" s="126" t="s">
        <v>2821</v>
      </c>
      <c r="P764" s="254" t="s">
        <v>2047</v>
      </c>
      <c r="Q764" s="126"/>
      <c r="R764" s="126"/>
      <c r="S764" s="126"/>
      <c r="T764" s="289" t="s">
        <v>2822</v>
      </c>
      <c r="U764" s="101" t="s">
        <v>16</v>
      </c>
      <c r="V764" s="31" t="s">
        <v>85</v>
      </c>
      <c r="W764" s="31" t="s">
        <v>16</v>
      </c>
      <c r="X764" s="97" t="s">
        <v>61</v>
      </c>
      <c r="Y764" s="97" t="s">
        <v>2823</v>
      </c>
      <c r="Z764" s="40" t="s">
        <v>798</v>
      </c>
      <c r="AA764" s="97" t="s">
        <v>419</v>
      </c>
      <c r="AB764" s="31">
        <v>17.600000000000001</v>
      </c>
      <c r="AC764" s="31">
        <v>17.600000000000001</v>
      </c>
      <c r="AD764" s="31"/>
      <c r="AE764" s="31"/>
      <c r="AF764" s="31"/>
      <c r="AG764" s="372"/>
      <c r="AH764" s="372"/>
      <c r="AI764" s="30" t="s">
        <v>1915</v>
      </c>
      <c r="AJ764" s="130"/>
      <c r="AK764" s="31"/>
      <c r="AL764" s="372"/>
      <c r="AM764" s="372"/>
      <c r="AN764" s="389" t="s">
        <v>2774</v>
      </c>
      <c r="AO764" s="30" t="s">
        <v>2824</v>
      </c>
      <c r="AP764" s="40" t="s">
        <v>2714</v>
      </c>
      <c r="AQ764" s="40" t="s">
        <v>2715</v>
      </c>
      <c r="AR764" s="41">
        <v>44067</v>
      </c>
      <c r="AS764" s="40" t="s">
        <v>2715</v>
      </c>
      <c r="AT764" s="41">
        <v>44111</v>
      </c>
      <c r="AU764" s="652" t="s">
        <v>37</v>
      </c>
    </row>
    <row r="765" spans="1:47" ht="27" thickBot="1" x14ac:dyDescent="0.3">
      <c r="A765" s="336"/>
      <c r="B765" s="196"/>
      <c r="C765" s="566"/>
      <c r="D765" s="566"/>
      <c r="E765" s="566"/>
      <c r="F765" s="96"/>
      <c r="G765" s="566"/>
      <c r="H765" s="107"/>
      <c r="I765" s="123"/>
      <c r="J765" s="190">
        <v>3025</v>
      </c>
      <c r="K765" s="357" t="s">
        <v>2825</v>
      </c>
      <c r="L765" s="912">
        <v>1965951.4414019999</v>
      </c>
      <c r="M765" s="912">
        <v>5769382.8964689998</v>
      </c>
      <c r="N765" s="107"/>
      <c r="O765" s="107" t="s">
        <v>2826</v>
      </c>
      <c r="P765" s="261" t="s">
        <v>2047</v>
      </c>
      <c r="Q765" s="107"/>
      <c r="R765" s="107"/>
      <c r="S765" s="107"/>
      <c r="T765" s="274" t="s">
        <v>2827</v>
      </c>
      <c r="U765" s="104" t="s">
        <v>16</v>
      </c>
      <c r="V765" s="25" t="s">
        <v>16</v>
      </c>
      <c r="W765" s="25" t="s">
        <v>16</v>
      </c>
      <c r="X765" s="120" t="s">
        <v>61</v>
      </c>
      <c r="Y765" s="120" t="s">
        <v>2828</v>
      </c>
      <c r="Z765" s="52" t="s">
        <v>798</v>
      </c>
      <c r="AA765" s="120" t="s">
        <v>419</v>
      </c>
      <c r="AB765" s="25" t="s">
        <v>2829</v>
      </c>
      <c r="AC765" s="25">
        <v>15.7</v>
      </c>
      <c r="AD765" s="25">
        <v>13.8</v>
      </c>
      <c r="AE765" s="25">
        <v>17.600000000000001</v>
      </c>
      <c r="AF765" s="25"/>
      <c r="AG765" s="386"/>
      <c r="AH765" s="386"/>
      <c r="AI765" s="51" t="s">
        <v>1915</v>
      </c>
      <c r="AJ765" s="105"/>
      <c r="AK765" s="25"/>
      <c r="AL765" s="386"/>
      <c r="AM765" s="386"/>
      <c r="AN765" s="391" t="s">
        <v>2774</v>
      </c>
      <c r="AO765" s="51" t="s">
        <v>2713</v>
      </c>
      <c r="AP765" s="52" t="s">
        <v>2714</v>
      </c>
      <c r="AQ765" s="52" t="s">
        <v>2715</v>
      </c>
      <c r="AR765" s="53">
        <v>44067</v>
      </c>
      <c r="AS765" s="52" t="s">
        <v>2715</v>
      </c>
      <c r="AT765" s="53">
        <v>44111</v>
      </c>
      <c r="AU765" s="653" t="s">
        <v>37</v>
      </c>
    </row>
    <row r="766" spans="1:47" ht="65.25" thickBot="1" x14ac:dyDescent="0.3">
      <c r="A766" s="807" t="s">
        <v>5257</v>
      </c>
      <c r="B766" s="349" t="s">
        <v>5194</v>
      </c>
      <c r="C766" s="157">
        <v>379</v>
      </c>
      <c r="D766" s="592" t="s">
        <v>52</v>
      </c>
      <c r="E766" s="592" t="s">
        <v>53</v>
      </c>
      <c r="F766" s="157" t="s">
        <v>4679</v>
      </c>
      <c r="G766" s="157" t="s">
        <v>1973</v>
      </c>
      <c r="H766" s="159" t="s">
        <v>5064</v>
      </c>
      <c r="I766" s="450" t="s">
        <v>5592</v>
      </c>
      <c r="J766" s="425">
        <v>2470</v>
      </c>
      <c r="K766" s="472" t="s">
        <v>5258</v>
      </c>
      <c r="L766" s="917">
        <v>1896743.8694</v>
      </c>
      <c r="M766" s="917">
        <v>5556105.3354000002</v>
      </c>
      <c r="N766" s="426">
        <v>65</v>
      </c>
      <c r="O766" s="426" t="s">
        <v>3468</v>
      </c>
      <c r="P766" s="426" t="s">
        <v>194</v>
      </c>
      <c r="Q766" s="484"/>
      <c r="R766" s="484"/>
      <c r="S766" s="484"/>
      <c r="T766" s="536" t="s">
        <v>5652</v>
      </c>
      <c r="U766" s="294" t="s">
        <v>16</v>
      </c>
      <c r="V766" s="197" t="s">
        <v>85</v>
      </c>
      <c r="W766" s="197" t="s">
        <v>16</v>
      </c>
      <c r="X766" s="197" t="s">
        <v>194</v>
      </c>
      <c r="Y766" s="307" t="s">
        <v>1463</v>
      </c>
      <c r="Z766" s="92" t="s">
        <v>5860</v>
      </c>
      <c r="AA766" s="197">
        <v>1</v>
      </c>
      <c r="AB766" s="307" t="s">
        <v>5156</v>
      </c>
      <c r="AC766" s="197">
        <v>12</v>
      </c>
      <c r="AD766" s="197"/>
      <c r="AE766" s="197"/>
      <c r="AF766" s="197">
        <v>10</v>
      </c>
      <c r="AG766" s="197"/>
      <c r="AH766" s="197"/>
      <c r="AI766" s="94" t="s">
        <v>256</v>
      </c>
      <c r="AJ766" s="197" t="s">
        <v>3459</v>
      </c>
      <c r="AK766" s="197"/>
      <c r="AL766" s="197"/>
      <c r="AM766" s="197"/>
      <c r="AN766" s="94" t="s">
        <v>5852</v>
      </c>
      <c r="AO766" s="292" t="s">
        <v>5157</v>
      </c>
      <c r="AP766" s="92" t="s">
        <v>1462</v>
      </c>
      <c r="AQ766" s="92" t="s">
        <v>3457</v>
      </c>
      <c r="AR766" s="93">
        <v>44264</v>
      </c>
      <c r="AS766" s="92" t="s">
        <v>37</v>
      </c>
      <c r="AT766" s="93">
        <v>44270</v>
      </c>
      <c r="AU766" s="1108" t="s">
        <v>37</v>
      </c>
    </row>
    <row r="767" spans="1:47" ht="39.75" thickBot="1" x14ac:dyDescent="0.3">
      <c r="A767" s="808"/>
      <c r="B767" s="474"/>
      <c r="C767" s="436"/>
      <c r="D767" s="576"/>
      <c r="E767" s="576"/>
      <c r="F767" s="436"/>
      <c r="G767" s="436"/>
      <c r="H767" s="583"/>
      <c r="I767" s="423"/>
      <c r="J767" s="425">
        <v>2471</v>
      </c>
      <c r="K767" s="472" t="s">
        <v>5259</v>
      </c>
      <c r="L767" s="917">
        <v>1892708.9654999999</v>
      </c>
      <c r="M767" s="917">
        <v>5550549.3650000002</v>
      </c>
      <c r="N767" s="426">
        <v>40</v>
      </c>
      <c r="O767" s="426" t="s">
        <v>3468</v>
      </c>
      <c r="P767" s="426" t="s">
        <v>194</v>
      </c>
      <c r="Q767" s="484"/>
      <c r="R767" s="484"/>
      <c r="S767" s="484"/>
      <c r="T767" s="536" t="s">
        <v>5597</v>
      </c>
      <c r="U767" s="294" t="s">
        <v>16</v>
      </c>
      <c r="V767" s="197" t="s">
        <v>85</v>
      </c>
      <c r="W767" s="86" t="s">
        <v>16</v>
      </c>
      <c r="X767" s="197" t="s">
        <v>61</v>
      </c>
      <c r="Y767" s="307" t="s">
        <v>5260</v>
      </c>
      <c r="Z767" s="92" t="s">
        <v>604</v>
      </c>
      <c r="AA767" s="197">
        <v>1</v>
      </c>
      <c r="AB767" s="307" t="s">
        <v>5156</v>
      </c>
      <c r="AC767" s="197">
        <v>12</v>
      </c>
      <c r="AD767" s="197"/>
      <c r="AE767" s="197"/>
      <c r="AF767" s="197">
        <v>10</v>
      </c>
      <c r="AG767" s="197"/>
      <c r="AH767" s="197"/>
      <c r="AI767" s="94" t="s">
        <v>256</v>
      </c>
      <c r="AJ767" s="197" t="s">
        <v>3459</v>
      </c>
      <c r="AK767" s="197"/>
      <c r="AL767" s="197"/>
      <c r="AM767" s="197"/>
      <c r="AN767" s="94" t="s">
        <v>5853</v>
      </c>
      <c r="AO767" s="292" t="s">
        <v>5157</v>
      </c>
      <c r="AP767" s="92" t="s">
        <v>1462</v>
      </c>
      <c r="AQ767" s="92" t="s">
        <v>3457</v>
      </c>
      <c r="AR767" s="93">
        <v>44264</v>
      </c>
      <c r="AS767" s="92" t="s">
        <v>37</v>
      </c>
      <c r="AT767" s="93">
        <v>44270</v>
      </c>
      <c r="AU767" s="1108" t="s">
        <v>37</v>
      </c>
    </row>
    <row r="768" spans="1:47" ht="39.75" thickBot="1" x14ac:dyDescent="0.3">
      <c r="A768" s="808"/>
      <c r="B768" s="474"/>
      <c r="C768" s="436"/>
      <c r="D768" s="576"/>
      <c r="E768" s="576"/>
      <c r="F768" s="436"/>
      <c r="G768" s="436"/>
      <c r="H768" s="583"/>
      <c r="I768" s="423"/>
      <c r="J768" s="425">
        <v>2472</v>
      </c>
      <c r="K768" s="472" t="s">
        <v>5261</v>
      </c>
      <c r="L768" s="917">
        <v>1898216.7164</v>
      </c>
      <c r="M768" s="917">
        <v>5558906.3674999997</v>
      </c>
      <c r="N768" s="426">
        <v>20</v>
      </c>
      <c r="O768" s="426" t="s">
        <v>5262</v>
      </c>
      <c r="P768" s="426" t="s">
        <v>194</v>
      </c>
      <c r="Q768" s="484"/>
      <c r="R768" s="484"/>
      <c r="S768" s="484"/>
      <c r="T768" s="536" t="s">
        <v>5653</v>
      </c>
      <c r="U768" s="294" t="s">
        <v>16</v>
      </c>
      <c r="V768" s="197" t="s">
        <v>85</v>
      </c>
      <c r="W768" s="86" t="s">
        <v>16</v>
      </c>
      <c r="X768" s="197" t="s">
        <v>194</v>
      </c>
      <c r="Y768" s="307" t="s">
        <v>5263</v>
      </c>
      <c r="Z768" s="92" t="s">
        <v>5861</v>
      </c>
      <c r="AA768" s="197">
        <v>2</v>
      </c>
      <c r="AB768" s="307" t="s">
        <v>5156</v>
      </c>
      <c r="AC768" s="197">
        <v>12</v>
      </c>
      <c r="AD768" s="197"/>
      <c r="AE768" s="197"/>
      <c r="AF768" s="197">
        <v>10</v>
      </c>
      <c r="AG768" s="197"/>
      <c r="AH768" s="197"/>
      <c r="AI768" s="94" t="s">
        <v>256</v>
      </c>
      <c r="AJ768" s="197" t="s">
        <v>3459</v>
      </c>
      <c r="AK768" s="197"/>
      <c r="AL768" s="197"/>
      <c r="AM768" s="197"/>
      <c r="AN768" s="94" t="s">
        <v>5854</v>
      </c>
      <c r="AO768" s="292" t="s">
        <v>5264</v>
      </c>
      <c r="AP768" s="92" t="s">
        <v>1462</v>
      </c>
      <c r="AQ768" s="92" t="s">
        <v>3457</v>
      </c>
      <c r="AR768" s="93">
        <v>44264</v>
      </c>
      <c r="AS768" s="92" t="s">
        <v>37</v>
      </c>
      <c r="AT768" s="93">
        <v>44270</v>
      </c>
      <c r="AU768" s="1108" t="s">
        <v>37</v>
      </c>
    </row>
    <row r="769" spans="1:47" ht="27" thickBot="1" x14ac:dyDescent="0.3">
      <c r="A769" s="808"/>
      <c r="B769" s="474"/>
      <c r="C769" s="436"/>
      <c r="D769" s="576"/>
      <c r="E769" s="576"/>
      <c r="F769" s="436"/>
      <c r="G769" s="436"/>
      <c r="H769" s="583"/>
      <c r="I769" s="423"/>
      <c r="J769" s="425">
        <v>2473</v>
      </c>
      <c r="K769" s="472" t="s">
        <v>5265</v>
      </c>
      <c r="L769" s="917">
        <v>1900248.3955999999</v>
      </c>
      <c r="M769" s="917">
        <v>5559934.3032</v>
      </c>
      <c r="N769" s="426">
        <v>26</v>
      </c>
      <c r="O769" s="426" t="s">
        <v>5266</v>
      </c>
      <c r="P769" s="426" t="s">
        <v>5</v>
      </c>
      <c r="Q769" s="484"/>
      <c r="R769" s="484"/>
      <c r="S769" s="484"/>
      <c r="T769" s="536" t="s">
        <v>5650</v>
      </c>
      <c r="U769" s="294" t="s">
        <v>16</v>
      </c>
      <c r="V769" s="197" t="s">
        <v>85</v>
      </c>
      <c r="W769" s="86" t="s">
        <v>16</v>
      </c>
      <c r="X769" s="197" t="s">
        <v>61</v>
      </c>
      <c r="Y769" s="307" t="s">
        <v>5267</v>
      </c>
      <c r="Z769" s="92" t="s">
        <v>5862</v>
      </c>
      <c r="AA769" s="197">
        <v>2</v>
      </c>
      <c r="AB769" s="307" t="s">
        <v>5156</v>
      </c>
      <c r="AC769" s="197">
        <v>12</v>
      </c>
      <c r="AD769" s="197"/>
      <c r="AE769" s="197"/>
      <c r="AF769" s="197">
        <v>10</v>
      </c>
      <c r="AG769" s="197"/>
      <c r="AH769" s="197"/>
      <c r="AI769" s="94" t="s">
        <v>256</v>
      </c>
      <c r="AJ769" s="197" t="s">
        <v>3459</v>
      </c>
      <c r="AK769" s="197"/>
      <c r="AL769" s="197"/>
      <c r="AM769" s="197"/>
      <c r="AN769" s="94" t="s">
        <v>5855</v>
      </c>
      <c r="AO769" s="292" t="s">
        <v>5268</v>
      </c>
      <c r="AP769" s="92" t="s">
        <v>1462</v>
      </c>
      <c r="AQ769" s="92" t="s">
        <v>3457</v>
      </c>
      <c r="AR769" s="93">
        <v>44264</v>
      </c>
      <c r="AS769" s="92" t="s">
        <v>37</v>
      </c>
      <c r="AT769" s="93">
        <v>44270</v>
      </c>
      <c r="AU769" s="1108" t="s">
        <v>37</v>
      </c>
    </row>
    <row r="770" spans="1:47" ht="27" thickBot="1" x14ac:dyDescent="0.3">
      <c r="A770" s="808"/>
      <c r="B770" s="474"/>
      <c r="C770" s="436"/>
      <c r="D770" s="576"/>
      <c r="E770" s="576"/>
      <c r="F770" s="436"/>
      <c r="G770" s="436"/>
      <c r="H770" s="583"/>
      <c r="I770" s="423"/>
      <c r="J770" s="425">
        <v>2474</v>
      </c>
      <c r="K770" s="472" t="s">
        <v>5269</v>
      </c>
      <c r="L770" s="917">
        <v>1900483.3663999999</v>
      </c>
      <c r="M770" s="917">
        <v>5561377.71</v>
      </c>
      <c r="N770" s="426">
        <v>32</v>
      </c>
      <c r="O770" s="426" t="s">
        <v>5270</v>
      </c>
      <c r="P770" s="426" t="s">
        <v>194</v>
      </c>
      <c r="Q770" s="484"/>
      <c r="R770" s="484"/>
      <c r="S770" s="484"/>
      <c r="T770" s="536" t="s">
        <v>5654</v>
      </c>
      <c r="U770" s="294" t="s">
        <v>16</v>
      </c>
      <c r="V770" s="197" t="s">
        <v>85</v>
      </c>
      <c r="W770" s="197" t="s">
        <v>16</v>
      </c>
      <c r="X770" s="197" t="s">
        <v>194</v>
      </c>
      <c r="Y770" s="307" t="s">
        <v>5271</v>
      </c>
      <c r="Z770" s="92" t="s">
        <v>5272</v>
      </c>
      <c r="AA770" s="197">
        <v>2</v>
      </c>
      <c r="AB770" s="307" t="s">
        <v>5156</v>
      </c>
      <c r="AC770" s="197">
        <v>12</v>
      </c>
      <c r="AD770" s="197"/>
      <c r="AE770" s="197"/>
      <c r="AF770" s="197">
        <v>10</v>
      </c>
      <c r="AG770" s="197"/>
      <c r="AH770" s="197"/>
      <c r="AI770" s="94" t="s">
        <v>256</v>
      </c>
      <c r="AJ770" s="197" t="s">
        <v>3459</v>
      </c>
      <c r="AK770" s="197"/>
      <c r="AL770" s="197"/>
      <c r="AM770" s="197"/>
      <c r="AN770" s="94" t="s">
        <v>5856</v>
      </c>
      <c r="AO770" s="292" t="s">
        <v>5268</v>
      </c>
      <c r="AP770" s="92" t="s">
        <v>1462</v>
      </c>
      <c r="AQ770" s="92" t="s">
        <v>3457</v>
      </c>
      <c r="AR770" s="93">
        <v>44264</v>
      </c>
      <c r="AS770" s="92" t="s">
        <v>37</v>
      </c>
      <c r="AT770" s="93">
        <v>44270</v>
      </c>
      <c r="AU770" s="1108" t="s">
        <v>37</v>
      </c>
    </row>
    <row r="771" spans="1:47" ht="39.75" thickBot="1" x14ac:dyDescent="0.3">
      <c r="A771" s="808"/>
      <c r="B771" s="474"/>
      <c r="C771" s="436"/>
      <c r="D771" s="576"/>
      <c r="E771" s="576"/>
      <c r="F771" s="436"/>
      <c r="G771" s="436"/>
      <c r="H771" s="583"/>
      <c r="I771" s="423"/>
      <c r="J771" s="425">
        <v>2475</v>
      </c>
      <c r="K771" s="472" t="s">
        <v>5273</v>
      </c>
      <c r="L771" s="917">
        <v>1903448.3330999999</v>
      </c>
      <c r="M771" s="917">
        <v>5565866.8277000003</v>
      </c>
      <c r="N771" s="426">
        <v>30</v>
      </c>
      <c r="O771" s="426" t="s">
        <v>1586</v>
      </c>
      <c r="P771" s="426" t="s">
        <v>194</v>
      </c>
      <c r="Q771" s="484"/>
      <c r="R771" s="484"/>
      <c r="S771" s="484"/>
      <c r="T771" s="536" t="s">
        <v>5655</v>
      </c>
      <c r="U771" s="294" t="s">
        <v>16</v>
      </c>
      <c r="V771" s="197" t="s">
        <v>85</v>
      </c>
      <c r="W771" s="197" t="s">
        <v>16</v>
      </c>
      <c r="X771" s="197" t="s">
        <v>194</v>
      </c>
      <c r="Y771" s="307" t="s">
        <v>5246</v>
      </c>
      <c r="Z771" s="92" t="s">
        <v>5274</v>
      </c>
      <c r="AA771" s="197">
        <v>2</v>
      </c>
      <c r="AB771" s="307" t="s">
        <v>1610</v>
      </c>
      <c r="AC771" s="197">
        <v>30</v>
      </c>
      <c r="AD771" s="197"/>
      <c r="AE771" s="197"/>
      <c r="AF771" s="197">
        <v>20</v>
      </c>
      <c r="AG771" s="197"/>
      <c r="AH771" s="197"/>
      <c r="AI771" s="94" t="s">
        <v>256</v>
      </c>
      <c r="AJ771" s="197" t="s">
        <v>13</v>
      </c>
      <c r="AK771" s="197"/>
      <c r="AL771" s="197"/>
      <c r="AM771" s="197"/>
      <c r="AN771" s="94" t="s">
        <v>5857</v>
      </c>
      <c r="AO771" s="292" t="s">
        <v>5275</v>
      </c>
      <c r="AP771" s="92" t="s">
        <v>1462</v>
      </c>
      <c r="AQ771" s="92" t="s">
        <v>3457</v>
      </c>
      <c r="AR771" s="93">
        <v>44264</v>
      </c>
      <c r="AS771" s="92" t="s">
        <v>37</v>
      </c>
      <c r="AT771" s="93">
        <v>44270</v>
      </c>
      <c r="AU771" s="1108" t="s">
        <v>37</v>
      </c>
    </row>
    <row r="772" spans="1:47" ht="39.75" thickBot="1" x14ac:dyDescent="0.3">
      <c r="A772" s="808"/>
      <c r="B772" s="474"/>
      <c r="C772" s="436"/>
      <c r="D772" s="576"/>
      <c r="E772" s="576"/>
      <c r="F772" s="436"/>
      <c r="G772" s="436"/>
      <c r="H772" s="583"/>
      <c r="I772" s="423"/>
      <c r="J772" s="425">
        <v>2476</v>
      </c>
      <c r="K772" s="472" t="s">
        <v>5276</v>
      </c>
      <c r="L772" s="917">
        <v>1902965.5284</v>
      </c>
      <c r="M772" s="917">
        <v>5564585.5072999997</v>
      </c>
      <c r="N772" s="426">
        <v>25</v>
      </c>
      <c r="O772" s="426" t="s">
        <v>5262</v>
      </c>
      <c r="P772" s="426" t="s">
        <v>5</v>
      </c>
      <c r="Q772" s="484"/>
      <c r="R772" s="484"/>
      <c r="S772" s="484"/>
      <c r="T772" s="536" t="s">
        <v>5651</v>
      </c>
      <c r="U772" s="294" t="s">
        <v>16</v>
      </c>
      <c r="V772" s="197" t="s">
        <v>85</v>
      </c>
      <c r="W772" s="197" t="s">
        <v>16</v>
      </c>
      <c r="X772" s="197" t="s">
        <v>61</v>
      </c>
      <c r="Y772" s="307" t="s">
        <v>5277</v>
      </c>
      <c r="Z772" s="92" t="s">
        <v>5192</v>
      </c>
      <c r="AA772" s="197">
        <v>2</v>
      </c>
      <c r="AB772" s="307" t="s">
        <v>5156</v>
      </c>
      <c r="AC772" s="197">
        <v>12</v>
      </c>
      <c r="AD772" s="197"/>
      <c r="AE772" s="197"/>
      <c r="AF772" s="197">
        <v>10</v>
      </c>
      <c r="AG772" s="197"/>
      <c r="AH772" s="197"/>
      <c r="AI772" s="94" t="s">
        <v>256</v>
      </c>
      <c r="AJ772" s="197" t="s">
        <v>13</v>
      </c>
      <c r="AK772" s="197"/>
      <c r="AL772" s="197"/>
      <c r="AM772" s="197"/>
      <c r="AN772" s="94" t="s">
        <v>5858</v>
      </c>
      <c r="AO772" s="292" t="s">
        <v>5264</v>
      </c>
      <c r="AP772" s="92" t="s">
        <v>1462</v>
      </c>
      <c r="AQ772" s="92" t="s">
        <v>3457</v>
      </c>
      <c r="AR772" s="93">
        <v>44264</v>
      </c>
      <c r="AS772" s="92" t="s">
        <v>37</v>
      </c>
      <c r="AT772" s="93">
        <v>44270</v>
      </c>
      <c r="AU772" s="1108" t="s">
        <v>37</v>
      </c>
    </row>
    <row r="773" spans="1:47" ht="39.75" thickBot="1" x14ac:dyDescent="0.3">
      <c r="A773" s="808"/>
      <c r="B773" s="474"/>
      <c r="C773" s="436"/>
      <c r="D773" s="576"/>
      <c r="E773" s="576"/>
      <c r="F773" s="436"/>
      <c r="G773" s="436"/>
      <c r="H773" s="583"/>
      <c r="I773" s="423"/>
      <c r="J773" s="425">
        <v>2477</v>
      </c>
      <c r="K773" s="472" t="s">
        <v>5278</v>
      </c>
      <c r="L773" s="917">
        <v>1904504.1717999999</v>
      </c>
      <c r="M773" s="917">
        <v>5564031.7953000003</v>
      </c>
      <c r="N773" s="426">
        <v>27</v>
      </c>
      <c r="O773" s="426" t="s">
        <v>5200</v>
      </c>
      <c r="P773" s="426" t="s">
        <v>194</v>
      </c>
      <c r="Q773" s="484"/>
      <c r="R773" s="484"/>
      <c r="S773" s="484"/>
      <c r="T773" s="536" t="s">
        <v>5656</v>
      </c>
      <c r="U773" s="294" t="s">
        <v>16</v>
      </c>
      <c r="V773" s="197" t="s">
        <v>85</v>
      </c>
      <c r="W773" s="197" t="s">
        <v>16</v>
      </c>
      <c r="X773" s="197" t="s">
        <v>194</v>
      </c>
      <c r="Y773" s="307" t="s">
        <v>5279</v>
      </c>
      <c r="Z773" s="92" t="s">
        <v>5280</v>
      </c>
      <c r="AA773" s="197">
        <v>2</v>
      </c>
      <c r="AB773" s="307" t="s">
        <v>1610</v>
      </c>
      <c r="AC773" s="197">
        <v>30</v>
      </c>
      <c r="AD773" s="197"/>
      <c r="AE773" s="197"/>
      <c r="AF773" s="197">
        <v>20</v>
      </c>
      <c r="AG773" s="197"/>
      <c r="AH773" s="197"/>
      <c r="AI773" s="94" t="s">
        <v>256</v>
      </c>
      <c r="AJ773" s="197" t="s">
        <v>13</v>
      </c>
      <c r="AK773" s="197"/>
      <c r="AL773" s="197"/>
      <c r="AM773" s="197"/>
      <c r="AN773" s="94" t="s">
        <v>5858</v>
      </c>
      <c r="AO773" s="292" t="s">
        <v>5264</v>
      </c>
      <c r="AP773" s="92" t="s">
        <v>1462</v>
      </c>
      <c r="AQ773" s="92" t="s">
        <v>3457</v>
      </c>
      <c r="AR773" s="93">
        <v>44264</v>
      </c>
      <c r="AS773" s="92" t="s">
        <v>37</v>
      </c>
      <c r="AT773" s="93">
        <v>44270</v>
      </c>
      <c r="AU773" s="1108" t="s">
        <v>37</v>
      </c>
    </row>
    <row r="774" spans="1:47" ht="39.75" thickBot="1" x14ac:dyDescent="0.3">
      <c r="A774" s="809"/>
      <c r="B774" s="174"/>
      <c r="C774" s="165"/>
      <c r="D774" s="574"/>
      <c r="E774" s="574"/>
      <c r="F774" s="165"/>
      <c r="G774" s="165"/>
      <c r="H774" s="167"/>
      <c r="I774" s="424"/>
      <c r="J774" s="425">
        <v>2478</v>
      </c>
      <c r="K774" s="472" t="s">
        <v>5281</v>
      </c>
      <c r="L774" s="917">
        <v>1903650.1832999999</v>
      </c>
      <c r="M774" s="917">
        <v>5565138.1217</v>
      </c>
      <c r="N774" s="426">
        <v>15</v>
      </c>
      <c r="O774" s="426" t="s">
        <v>5282</v>
      </c>
      <c r="P774" s="426" t="s">
        <v>194</v>
      </c>
      <c r="Q774" s="484"/>
      <c r="R774" s="484"/>
      <c r="S774" s="484"/>
      <c r="T774" s="536" t="s">
        <v>5657</v>
      </c>
      <c r="U774" s="294" t="s">
        <v>10</v>
      </c>
      <c r="V774" s="197" t="s">
        <v>85</v>
      </c>
      <c r="W774" s="197" t="s">
        <v>16</v>
      </c>
      <c r="X774" s="197" t="s">
        <v>194</v>
      </c>
      <c r="Y774" s="307" t="s">
        <v>1317</v>
      </c>
      <c r="Z774" s="92" t="s">
        <v>5274</v>
      </c>
      <c r="AA774" s="197">
        <v>2</v>
      </c>
      <c r="AB774" s="307" t="s">
        <v>1610</v>
      </c>
      <c r="AC774" s="197">
        <v>30</v>
      </c>
      <c r="AD774" s="197"/>
      <c r="AE774" s="197"/>
      <c r="AF774" s="197">
        <v>20</v>
      </c>
      <c r="AG774" s="197"/>
      <c r="AH774" s="197"/>
      <c r="AI774" s="94" t="s">
        <v>256</v>
      </c>
      <c r="AJ774" s="197" t="s">
        <v>13</v>
      </c>
      <c r="AK774" s="197"/>
      <c r="AL774" s="197"/>
      <c r="AM774" s="197"/>
      <c r="AN774" s="94" t="s">
        <v>5859</v>
      </c>
      <c r="AO774" s="292" t="s">
        <v>5275</v>
      </c>
      <c r="AP774" s="92" t="s">
        <v>1462</v>
      </c>
      <c r="AQ774" s="92" t="s">
        <v>3457</v>
      </c>
      <c r="AR774" s="93">
        <v>44264</v>
      </c>
      <c r="AS774" s="92" t="s">
        <v>37</v>
      </c>
      <c r="AT774" s="93">
        <v>44270</v>
      </c>
      <c r="AU774" s="1108" t="s">
        <v>37</v>
      </c>
    </row>
    <row r="775" spans="1:47" ht="65.25" thickBot="1" x14ac:dyDescent="0.3">
      <c r="A775" s="334" t="s">
        <v>1364</v>
      </c>
      <c r="B775" s="333" t="s">
        <v>1364</v>
      </c>
      <c r="C775" s="84">
        <v>257</v>
      </c>
      <c r="D775" s="591" t="s">
        <v>57</v>
      </c>
      <c r="E775" s="591"/>
      <c r="F775" s="84" t="s">
        <v>668</v>
      </c>
      <c r="G775" s="149" t="s">
        <v>1238</v>
      </c>
      <c r="H775" s="109" t="s">
        <v>5629</v>
      </c>
      <c r="I775" s="333" t="s">
        <v>150</v>
      </c>
      <c r="J775" s="89">
        <v>248</v>
      </c>
      <c r="K775" s="396" t="s">
        <v>1365</v>
      </c>
      <c r="L775" s="265">
        <v>1791948.0264000001</v>
      </c>
      <c r="M775" s="265">
        <v>5629094.2817000002</v>
      </c>
      <c r="N775" s="109"/>
      <c r="O775" s="109" t="s">
        <v>1366</v>
      </c>
      <c r="P775" s="109" t="s">
        <v>193</v>
      </c>
      <c r="Q775" s="109"/>
      <c r="R775" s="109"/>
      <c r="S775" s="109"/>
      <c r="T775" s="343" t="s">
        <v>1366</v>
      </c>
      <c r="U775" s="85" t="s">
        <v>16</v>
      </c>
      <c r="V775" s="86" t="s">
        <v>85</v>
      </c>
      <c r="W775" s="86" t="s">
        <v>85</v>
      </c>
      <c r="X775" s="197" t="s">
        <v>194</v>
      </c>
      <c r="Y775" s="197" t="s">
        <v>1367</v>
      </c>
      <c r="Z775" s="92" t="s">
        <v>1368</v>
      </c>
      <c r="AA775" s="197">
        <v>1</v>
      </c>
      <c r="AB775" s="86" t="s">
        <v>1369</v>
      </c>
      <c r="AC775" s="86"/>
      <c r="AD775" s="86"/>
      <c r="AE775" s="86">
        <v>15</v>
      </c>
      <c r="AF775" s="86"/>
      <c r="AG775" s="387"/>
      <c r="AH775" s="387"/>
      <c r="AI775" s="94" t="s">
        <v>256</v>
      </c>
      <c r="AJ775" s="106"/>
      <c r="AK775" s="106"/>
      <c r="AL775" s="387"/>
      <c r="AM775" s="387"/>
      <c r="AN775" s="94" t="s">
        <v>1370</v>
      </c>
      <c r="AO775" s="92" t="s">
        <v>1371</v>
      </c>
      <c r="AP775" s="92" t="s">
        <v>1942</v>
      </c>
      <c r="AQ775" s="92" t="s">
        <v>37</v>
      </c>
      <c r="AR775" s="93">
        <v>44097</v>
      </c>
      <c r="AS775" s="92" t="s">
        <v>37</v>
      </c>
      <c r="AT775" s="368"/>
      <c r="AU775" s="1108"/>
    </row>
    <row r="776" spans="1:47" ht="78" thickBot="1" x14ac:dyDescent="0.3">
      <c r="A776" s="487" t="s">
        <v>1739</v>
      </c>
      <c r="B776" s="128" t="s">
        <v>6828</v>
      </c>
      <c r="C776" s="72">
        <v>282</v>
      </c>
      <c r="D776" s="586" t="s">
        <v>53</v>
      </c>
      <c r="E776" s="586" t="s">
        <v>52</v>
      </c>
      <c r="F776" s="72" t="s">
        <v>567</v>
      </c>
      <c r="G776" s="72" t="s">
        <v>1972</v>
      </c>
      <c r="H776" s="129" t="s">
        <v>1763</v>
      </c>
      <c r="I776" s="381" t="s">
        <v>5573</v>
      </c>
      <c r="J776" s="72">
        <v>1003</v>
      </c>
      <c r="K776" s="73" t="s">
        <v>1767</v>
      </c>
      <c r="L776" s="914">
        <v>1802122.919</v>
      </c>
      <c r="M776" s="914">
        <v>5453100.1228999998</v>
      </c>
      <c r="N776" s="129"/>
      <c r="O776" s="129" t="s">
        <v>1766</v>
      </c>
      <c r="P776" s="129" t="s">
        <v>61</v>
      </c>
      <c r="Q776" s="129" t="s">
        <v>1765</v>
      </c>
      <c r="R776" s="129" t="s">
        <v>1764</v>
      </c>
      <c r="S776" s="129"/>
      <c r="T776" s="266" t="s">
        <v>1763</v>
      </c>
      <c r="U776" s="101" t="s">
        <v>16</v>
      </c>
      <c r="V776" s="31" t="s">
        <v>10</v>
      </c>
      <c r="W776" s="31" t="s">
        <v>16</v>
      </c>
      <c r="X776" s="97" t="s">
        <v>61</v>
      </c>
      <c r="Y776" s="97" t="s">
        <v>1762</v>
      </c>
      <c r="Z776" s="40" t="s">
        <v>58</v>
      </c>
      <c r="AA776" s="382"/>
      <c r="AB776" s="31" t="s">
        <v>1761</v>
      </c>
      <c r="AC776" s="31">
        <v>11.1</v>
      </c>
      <c r="AD776" s="31">
        <v>10.5</v>
      </c>
      <c r="AE776" s="31">
        <v>11.7</v>
      </c>
      <c r="AF776" s="97"/>
      <c r="AG776" s="372"/>
      <c r="AH776" s="372"/>
      <c r="AI776" s="30" t="s">
        <v>23</v>
      </c>
      <c r="AJ776" s="97"/>
      <c r="AK776" s="383"/>
      <c r="AL776" s="372"/>
      <c r="AM776" s="372"/>
      <c r="AN776" s="40" t="s">
        <v>1760</v>
      </c>
      <c r="AO776" s="40" t="s">
        <v>6953</v>
      </c>
      <c r="AP776" s="40" t="s">
        <v>1759</v>
      </c>
      <c r="AQ776" s="40" t="s">
        <v>1380</v>
      </c>
      <c r="AR776" s="41">
        <v>44078</v>
      </c>
      <c r="AS776" s="40" t="s">
        <v>1380</v>
      </c>
      <c r="AT776" s="41">
        <v>44078</v>
      </c>
      <c r="AU776" s="652" t="s">
        <v>37</v>
      </c>
    </row>
    <row r="777" spans="1:47" ht="39.75" thickBot="1" x14ac:dyDescent="0.3">
      <c r="A777" s="488"/>
      <c r="B777" s="131"/>
      <c r="C777" s="568"/>
      <c r="D777" s="568"/>
      <c r="E777" s="568"/>
      <c r="F777" s="75"/>
      <c r="G777" s="75"/>
      <c r="H777" s="118"/>
      <c r="I777" s="121"/>
      <c r="J777" s="83">
        <v>1007</v>
      </c>
      <c r="K777" s="360" t="s">
        <v>1758</v>
      </c>
      <c r="L777" s="198">
        <v>1802133.7671000001</v>
      </c>
      <c r="M777" s="198">
        <v>5453105.6792000001</v>
      </c>
      <c r="N777" s="947"/>
      <c r="O777" s="199" t="s">
        <v>1757</v>
      </c>
      <c r="P777" s="83" t="s">
        <v>5</v>
      </c>
      <c r="Q777" s="199"/>
      <c r="R777" s="199"/>
      <c r="S777" s="199"/>
      <c r="T777" s="332" t="s">
        <v>1756</v>
      </c>
      <c r="U777" s="31" t="s">
        <v>16</v>
      </c>
      <c r="V777" s="31" t="s">
        <v>85</v>
      </c>
      <c r="W777" s="31" t="s">
        <v>85</v>
      </c>
      <c r="X777" s="31" t="s">
        <v>5</v>
      </c>
      <c r="Y777" s="31" t="s">
        <v>1755</v>
      </c>
      <c r="Z777" s="40" t="s">
        <v>1754</v>
      </c>
      <c r="AA777" s="31">
        <v>4</v>
      </c>
      <c r="AB777" s="31" t="s">
        <v>1753</v>
      </c>
      <c r="AC777" s="31"/>
      <c r="AD777" s="31">
        <v>13</v>
      </c>
      <c r="AE777" s="31">
        <v>18</v>
      </c>
      <c r="AF777" s="31"/>
      <c r="AG777" s="372"/>
      <c r="AH777" s="372"/>
      <c r="AI777" s="30" t="s">
        <v>256</v>
      </c>
      <c r="AJ777" s="130"/>
      <c r="AK777" s="31"/>
      <c r="AL777" s="372"/>
      <c r="AM777" s="372"/>
      <c r="AN777" s="40" t="s">
        <v>3636</v>
      </c>
      <c r="AO777" s="40" t="s">
        <v>6990</v>
      </c>
      <c r="AP777" s="40" t="s">
        <v>6954</v>
      </c>
      <c r="AQ777" s="40" t="s">
        <v>1380</v>
      </c>
      <c r="AR777" s="41">
        <v>44078</v>
      </c>
      <c r="AS777" s="40" t="s">
        <v>1380</v>
      </c>
      <c r="AT777" s="41">
        <v>44116</v>
      </c>
      <c r="AU777" s="652" t="s">
        <v>37</v>
      </c>
    </row>
    <row r="778" spans="1:47" ht="52.5" thickBot="1" x14ac:dyDescent="0.3">
      <c r="A778" s="488"/>
      <c r="B778" s="131"/>
      <c r="C778" s="568"/>
      <c r="D778" s="568"/>
      <c r="E778" s="568"/>
      <c r="F778" s="75"/>
      <c r="G778" s="75"/>
      <c r="H778" s="118"/>
      <c r="I778" s="121"/>
      <c r="J778" s="83">
        <v>1127</v>
      </c>
      <c r="K778" s="360" t="s">
        <v>1752</v>
      </c>
      <c r="L778" s="198">
        <v>1802068.1532999999</v>
      </c>
      <c r="M778" s="198">
        <v>5453044.0549999997</v>
      </c>
      <c r="N778" s="947"/>
      <c r="O778" s="199" t="s">
        <v>1751</v>
      </c>
      <c r="P778" s="83" t="s">
        <v>5</v>
      </c>
      <c r="Q778" s="199"/>
      <c r="R778" s="199"/>
      <c r="S778" s="199"/>
      <c r="T778" s="332" t="s">
        <v>1749</v>
      </c>
      <c r="U778" s="31" t="s">
        <v>16</v>
      </c>
      <c r="V778" s="31" t="s">
        <v>16</v>
      </c>
      <c r="W778" s="31" t="s">
        <v>16</v>
      </c>
      <c r="X778" s="31" t="s">
        <v>5</v>
      </c>
      <c r="Y778" s="97" t="s">
        <v>1748</v>
      </c>
      <c r="Z778" s="40" t="s">
        <v>1747</v>
      </c>
      <c r="AA778" s="31"/>
      <c r="AB778" s="31" t="s">
        <v>1746</v>
      </c>
      <c r="AC778" s="31">
        <v>11.1</v>
      </c>
      <c r="AD778" s="31">
        <v>10.5</v>
      </c>
      <c r="AE778" s="31">
        <v>11.7</v>
      </c>
      <c r="AF778" s="31"/>
      <c r="AG778" s="372"/>
      <c r="AH778" s="372"/>
      <c r="AI778" s="30" t="s">
        <v>23</v>
      </c>
      <c r="AJ778" s="130"/>
      <c r="AK778" s="31"/>
      <c r="AL778" s="372"/>
      <c r="AM778" s="372"/>
      <c r="AN778" s="40" t="s">
        <v>6955</v>
      </c>
      <c r="AO778" s="40" t="s">
        <v>6956</v>
      </c>
      <c r="AP778" s="40" t="s">
        <v>1740</v>
      </c>
      <c r="AQ778" s="40" t="s">
        <v>1380</v>
      </c>
      <c r="AR778" s="41">
        <v>44078</v>
      </c>
      <c r="AS778" s="40" t="s">
        <v>1380</v>
      </c>
      <c r="AT778" s="41">
        <v>44078</v>
      </c>
      <c r="AU778" s="652" t="s">
        <v>37</v>
      </c>
    </row>
    <row r="779" spans="1:47" ht="103.5" thickBot="1" x14ac:dyDescent="0.3">
      <c r="A779" s="488"/>
      <c r="B779" s="131"/>
      <c r="C779" s="568"/>
      <c r="D779" s="568"/>
      <c r="E779" s="568"/>
      <c r="F779" s="75"/>
      <c r="G779" s="75"/>
      <c r="H779" s="118"/>
      <c r="I779" s="121"/>
      <c r="J779" s="83">
        <v>1121</v>
      </c>
      <c r="K779" s="360" t="s">
        <v>1745</v>
      </c>
      <c r="L779" s="198">
        <v>1802135.0120000001</v>
      </c>
      <c r="M779" s="198">
        <v>5453107.1579</v>
      </c>
      <c r="N779" s="947"/>
      <c r="O779" s="199" t="s">
        <v>1744</v>
      </c>
      <c r="P779" s="83" t="s">
        <v>5</v>
      </c>
      <c r="Q779" s="199"/>
      <c r="R779" s="199"/>
      <c r="S779" s="199"/>
      <c r="T779" s="332" t="s">
        <v>5087</v>
      </c>
      <c r="U779" s="86" t="s">
        <v>16</v>
      </c>
      <c r="V779" s="86" t="s">
        <v>16</v>
      </c>
      <c r="W779" s="86" t="s">
        <v>16</v>
      </c>
      <c r="X779" s="86" t="s">
        <v>5</v>
      </c>
      <c r="Y779" s="86" t="s">
        <v>1743</v>
      </c>
      <c r="Z779" s="92" t="s">
        <v>604</v>
      </c>
      <c r="AA779" s="86"/>
      <c r="AB779" s="197" t="s">
        <v>5124</v>
      </c>
      <c r="AC779" s="86">
        <v>11.4</v>
      </c>
      <c r="AD779" s="86">
        <v>10</v>
      </c>
      <c r="AE779" s="86">
        <v>17.5</v>
      </c>
      <c r="AF779" s="86"/>
      <c r="AG779" s="387"/>
      <c r="AH779" s="387"/>
      <c r="AI779" s="94" t="s">
        <v>1742</v>
      </c>
      <c r="AJ779" s="106"/>
      <c r="AK779" s="86"/>
      <c r="AL779" s="387"/>
      <c r="AM779" s="387"/>
      <c r="AN779" s="92" t="s">
        <v>1741</v>
      </c>
      <c r="AO779" s="92" t="s">
        <v>6957</v>
      </c>
      <c r="AP779" s="92" t="s">
        <v>1740</v>
      </c>
      <c r="AQ779" s="92" t="s">
        <v>1380</v>
      </c>
      <c r="AR779" s="93">
        <v>44078</v>
      </c>
      <c r="AS779" s="92" t="s">
        <v>1380</v>
      </c>
      <c r="AT779" s="93">
        <v>44078</v>
      </c>
      <c r="AU779" s="1108" t="s">
        <v>37</v>
      </c>
    </row>
    <row r="780" spans="1:47" ht="39.75" thickBot="1" x14ac:dyDescent="0.3">
      <c r="A780" s="488"/>
      <c r="B780" s="131"/>
      <c r="C780" s="568"/>
      <c r="D780" s="568"/>
      <c r="E780" s="568"/>
      <c r="F780" s="75"/>
      <c r="G780" s="75"/>
      <c r="H780" s="118"/>
      <c r="I780" s="121"/>
      <c r="J780" s="83" t="s">
        <v>2156</v>
      </c>
      <c r="K780" s="360" t="s">
        <v>5122</v>
      </c>
      <c r="L780" s="198" t="s">
        <v>2156</v>
      </c>
      <c r="M780" s="198" t="s">
        <v>2156</v>
      </c>
      <c r="N780" s="947"/>
      <c r="O780" s="199" t="s">
        <v>5088</v>
      </c>
      <c r="P780" s="83" t="s">
        <v>5</v>
      </c>
      <c r="Q780" s="199">
        <v>8.3000000000000007</v>
      </c>
      <c r="R780" s="199"/>
      <c r="S780" s="199"/>
      <c r="T780" s="332" t="s">
        <v>5088</v>
      </c>
      <c r="U780" s="31"/>
      <c r="V780" s="31"/>
      <c r="W780" s="31"/>
      <c r="X780" s="31" t="s">
        <v>5</v>
      </c>
      <c r="Y780" s="31">
        <v>99</v>
      </c>
      <c r="Z780" s="40" t="s">
        <v>5089</v>
      </c>
      <c r="AA780" s="31"/>
      <c r="AB780" s="31">
        <v>12</v>
      </c>
      <c r="AC780" s="31" t="s">
        <v>5090</v>
      </c>
      <c r="AD780" s="31">
        <v>12.1</v>
      </c>
      <c r="AE780" s="31">
        <v>12.7</v>
      </c>
      <c r="AF780" s="31">
        <v>5.44</v>
      </c>
      <c r="AG780" s="31">
        <v>5.3</v>
      </c>
      <c r="AH780" s="31">
        <v>5.58</v>
      </c>
      <c r="AI780" s="30" t="s">
        <v>1810</v>
      </c>
      <c r="AJ780" s="130"/>
      <c r="AK780" s="31"/>
      <c r="AL780" s="372"/>
      <c r="AM780" s="372"/>
      <c r="AN780" s="40" t="s">
        <v>6958</v>
      </c>
      <c r="AO780" s="40" t="s">
        <v>5091</v>
      </c>
      <c r="AP780" s="40" t="s">
        <v>6959</v>
      </c>
      <c r="AQ780" s="40" t="s">
        <v>1380</v>
      </c>
      <c r="AR780" s="41">
        <v>44021</v>
      </c>
      <c r="AS780" s="40" t="s">
        <v>1380</v>
      </c>
      <c r="AT780" s="41">
        <v>44048</v>
      </c>
      <c r="AU780" s="652" t="s">
        <v>37</v>
      </c>
    </row>
    <row r="781" spans="1:47" ht="39.75" thickBot="1" x14ac:dyDescent="0.3">
      <c r="A781" s="488"/>
      <c r="B781" s="131"/>
      <c r="C781" s="568"/>
      <c r="D781" s="568"/>
      <c r="E781" s="568"/>
      <c r="F781" s="75"/>
      <c r="G781" s="75"/>
      <c r="H781" s="118"/>
      <c r="I781" s="121"/>
      <c r="J781" s="83">
        <v>1222</v>
      </c>
      <c r="K781" s="360" t="s">
        <v>5092</v>
      </c>
      <c r="L781" s="198">
        <v>1802453.1451000001</v>
      </c>
      <c r="M781" s="198">
        <v>5453371.9376999997</v>
      </c>
      <c r="N781" s="947"/>
      <c r="O781" s="199" t="s">
        <v>5093</v>
      </c>
      <c r="P781" s="199" t="s">
        <v>61</v>
      </c>
      <c r="Q781" s="199" t="s">
        <v>5094</v>
      </c>
      <c r="R781" s="199" t="s">
        <v>5095</v>
      </c>
      <c r="S781" s="199"/>
      <c r="T781" s="332" t="s">
        <v>5096</v>
      </c>
      <c r="U781" s="31" t="s">
        <v>16</v>
      </c>
      <c r="V781" s="31" t="s">
        <v>10</v>
      </c>
      <c r="W781" s="31" t="s">
        <v>16</v>
      </c>
      <c r="X781" s="97" t="s">
        <v>61</v>
      </c>
      <c r="Y781" s="97" t="s">
        <v>5097</v>
      </c>
      <c r="Z781" s="40" t="s">
        <v>5098</v>
      </c>
      <c r="AA781" s="97" t="s">
        <v>5099</v>
      </c>
      <c r="AB781" s="97" t="s">
        <v>5100</v>
      </c>
      <c r="AC781" s="31">
        <v>13</v>
      </c>
      <c r="AD781" s="31">
        <v>12.1</v>
      </c>
      <c r="AE781" s="31">
        <v>13.9</v>
      </c>
      <c r="AF781" s="31">
        <v>10</v>
      </c>
      <c r="AG781" s="31">
        <v>9.1999999999999993</v>
      </c>
      <c r="AH781" s="31">
        <v>10.8</v>
      </c>
      <c r="AI781" s="30" t="s">
        <v>23</v>
      </c>
      <c r="AJ781" s="130"/>
      <c r="AK781" s="31"/>
      <c r="AL781" s="372"/>
      <c r="AM781" s="372"/>
      <c r="AN781" s="40" t="s">
        <v>5101</v>
      </c>
      <c r="AO781" s="40" t="s">
        <v>5102</v>
      </c>
      <c r="AP781" s="40" t="s">
        <v>6960</v>
      </c>
      <c r="AQ781" s="40" t="s">
        <v>1380</v>
      </c>
      <c r="AR781" s="41">
        <v>44208</v>
      </c>
      <c r="AS781" s="40" t="s">
        <v>1380</v>
      </c>
      <c r="AT781" s="41">
        <v>43842</v>
      </c>
      <c r="AU781" s="1108" t="s">
        <v>37</v>
      </c>
    </row>
    <row r="782" spans="1:47" ht="39.75" thickBot="1" x14ac:dyDescent="0.3">
      <c r="A782" s="488"/>
      <c r="B782" s="131"/>
      <c r="C782" s="568"/>
      <c r="D782" s="568"/>
      <c r="E782" s="568"/>
      <c r="F782" s="75"/>
      <c r="G782" s="75"/>
      <c r="H782" s="118"/>
      <c r="I782" s="121"/>
      <c r="J782" s="83">
        <v>1223</v>
      </c>
      <c r="K782" s="360" t="s">
        <v>5103</v>
      </c>
      <c r="L782" s="198">
        <v>1798959.1195</v>
      </c>
      <c r="M782" s="198">
        <v>5450399.2850000001</v>
      </c>
      <c r="N782" s="947"/>
      <c r="O782" s="199" t="s">
        <v>5104</v>
      </c>
      <c r="P782" s="199" t="s">
        <v>194</v>
      </c>
      <c r="Q782" s="199"/>
      <c r="R782" s="199"/>
      <c r="S782" s="199"/>
      <c r="T782" s="332" t="s">
        <v>5105</v>
      </c>
      <c r="U782" s="31" t="s">
        <v>16</v>
      </c>
      <c r="V782" s="31" t="s">
        <v>16</v>
      </c>
      <c r="W782" s="31" t="s">
        <v>16</v>
      </c>
      <c r="X782" s="97" t="s">
        <v>194</v>
      </c>
      <c r="Y782" s="97" t="s">
        <v>5106</v>
      </c>
      <c r="Z782" s="40" t="s">
        <v>604</v>
      </c>
      <c r="AA782" s="31">
        <v>1</v>
      </c>
      <c r="AB782" s="31" t="s">
        <v>5107</v>
      </c>
      <c r="AC782" s="31">
        <v>16.100000000000001</v>
      </c>
      <c r="AD782" s="31">
        <v>14.5</v>
      </c>
      <c r="AE782" s="31">
        <v>17.7</v>
      </c>
      <c r="AF782" s="31"/>
      <c r="AG782" s="372"/>
      <c r="AH782" s="372"/>
      <c r="AI782" s="30" t="s">
        <v>23</v>
      </c>
      <c r="AJ782" s="130"/>
      <c r="AK782" s="31"/>
      <c r="AL782" s="372"/>
      <c r="AM782" s="372"/>
      <c r="AN782" s="40" t="s">
        <v>5108</v>
      </c>
      <c r="AO782" s="40" t="s">
        <v>5109</v>
      </c>
      <c r="AP782" s="40" t="s">
        <v>6961</v>
      </c>
      <c r="AQ782" s="40" t="s">
        <v>1380</v>
      </c>
      <c r="AR782" s="41">
        <v>44208</v>
      </c>
      <c r="AS782" s="40" t="s">
        <v>1380</v>
      </c>
      <c r="AT782" s="41">
        <v>44208</v>
      </c>
      <c r="AU782" s="1108" t="s">
        <v>37</v>
      </c>
    </row>
    <row r="783" spans="1:47" ht="39.75" thickBot="1" x14ac:dyDescent="0.3">
      <c r="A783" s="488"/>
      <c r="B783" s="131"/>
      <c r="C783" s="568"/>
      <c r="D783" s="568"/>
      <c r="E783" s="568"/>
      <c r="F783" s="75"/>
      <c r="G783" s="75"/>
      <c r="H783" s="118"/>
      <c r="I783" s="121"/>
      <c r="J783" s="83">
        <v>1224</v>
      </c>
      <c r="K783" s="360" t="s">
        <v>5110</v>
      </c>
      <c r="L783" s="198">
        <v>1797969.8404000001</v>
      </c>
      <c r="M783" s="198">
        <v>5449639.1355999997</v>
      </c>
      <c r="N783" s="947"/>
      <c r="O783" s="199" t="s">
        <v>5111</v>
      </c>
      <c r="P783" s="199" t="s">
        <v>194</v>
      </c>
      <c r="Q783" s="199"/>
      <c r="R783" s="199"/>
      <c r="S783" s="199"/>
      <c r="T783" s="332" t="s">
        <v>5112</v>
      </c>
      <c r="U783" s="31" t="s">
        <v>16</v>
      </c>
      <c r="V783" s="31" t="s">
        <v>16</v>
      </c>
      <c r="W783" s="31" t="s">
        <v>16</v>
      </c>
      <c r="X783" s="97" t="s">
        <v>194</v>
      </c>
      <c r="Y783" s="97" t="s">
        <v>5106</v>
      </c>
      <c r="Z783" s="40" t="s">
        <v>604</v>
      </c>
      <c r="AA783" s="31">
        <v>1</v>
      </c>
      <c r="AB783" s="31" t="s">
        <v>5113</v>
      </c>
      <c r="AC783" s="31">
        <v>14.7</v>
      </c>
      <c r="AD783" s="31">
        <v>13.9</v>
      </c>
      <c r="AE783" s="31">
        <v>15.5</v>
      </c>
      <c r="AF783" s="31"/>
      <c r="AG783" s="372"/>
      <c r="AH783" s="372"/>
      <c r="AI783" s="30" t="s">
        <v>23</v>
      </c>
      <c r="AJ783" s="130"/>
      <c r="AK783" s="31"/>
      <c r="AL783" s="372"/>
      <c r="AM783" s="372"/>
      <c r="AN783" s="40" t="s">
        <v>5108</v>
      </c>
      <c r="AO783" s="40" t="s">
        <v>5114</v>
      </c>
      <c r="AP783" s="40" t="s">
        <v>6961</v>
      </c>
      <c r="AQ783" s="40" t="s">
        <v>1380</v>
      </c>
      <c r="AR783" s="41">
        <v>44208</v>
      </c>
      <c r="AS783" s="40" t="s">
        <v>1380</v>
      </c>
      <c r="AT783" s="41">
        <v>44208</v>
      </c>
      <c r="AU783" s="1108" t="s">
        <v>37</v>
      </c>
    </row>
    <row r="784" spans="1:47" ht="39.75" thickBot="1" x14ac:dyDescent="0.3">
      <c r="A784" s="1038"/>
      <c r="B784" s="571"/>
      <c r="C784" s="580"/>
      <c r="D784" s="580"/>
      <c r="E784" s="580"/>
      <c r="F784" s="67"/>
      <c r="G784" s="67"/>
      <c r="H784" s="312"/>
      <c r="I784" s="1052"/>
      <c r="J784" s="379" t="s">
        <v>2156</v>
      </c>
      <c r="K784" s="380" t="s">
        <v>5123</v>
      </c>
      <c r="L784" s="327" t="s">
        <v>2156</v>
      </c>
      <c r="M784" s="327" t="s">
        <v>2156</v>
      </c>
      <c r="N784" s="907"/>
      <c r="O784" s="301" t="s">
        <v>5115</v>
      </c>
      <c r="P784" s="301" t="s">
        <v>194</v>
      </c>
      <c r="Q784" s="301"/>
      <c r="R784" s="301"/>
      <c r="S784" s="301"/>
      <c r="T784" s="300" t="s">
        <v>9224</v>
      </c>
      <c r="U784" s="31" t="s">
        <v>16</v>
      </c>
      <c r="V784" s="31" t="s">
        <v>10</v>
      </c>
      <c r="W784" s="31" t="s">
        <v>16</v>
      </c>
      <c r="X784" s="97" t="s">
        <v>194</v>
      </c>
      <c r="Y784" s="97" t="s">
        <v>5106</v>
      </c>
      <c r="Z784" s="40" t="s">
        <v>604</v>
      </c>
      <c r="AA784" s="31">
        <v>2</v>
      </c>
      <c r="AB784" s="97" t="s">
        <v>5116</v>
      </c>
      <c r="AC784" s="31"/>
      <c r="AD784" s="31"/>
      <c r="AE784" s="31"/>
      <c r="AF784" s="31"/>
      <c r="AG784" s="372"/>
      <c r="AH784" s="372"/>
      <c r="AI784" s="30" t="s">
        <v>23</v>
      </c>
      <c r="AJ784" s="130"/>
      <c r="AK784" s="31"/>
      <c r="AL784" s="372"/>
      <c r="AM784" s="372"/>
      <c r="AN784" s="40"/>
      <c r="AO784" s="40"/>
      <c r="AP784" s="40" t="s">
        <v>6961</v>
      </c>
      <c r="AQ784" s="40" t="s">
        <v>1380</v>
      </c>
      <c r="AR784" s="41">
        <v>44208</v>
      </c>
      <c r="AS784" s="40" t="s">
        <v>1380</v>
      </c>
      <c r="AT784" s="41">
        <v>44208</v>
      </c>
      <c r="AU784" s="1108" t="s">
        <v>37</v>
      </c>
    </row>
    <row r="785" spans="1:47" ht="39.75" thickBot="1" x14ac:dyDescent="0.3">
      <c r="A785" s="1038"/>
      <c r="B785" s="571"/>
      <c r="C785" s="580"/>
      <c r="D785" s="580"/>
      <c r="E785" s="580"/>
      <c r="F785" s="67"/>
      <c r="G785" s="67"/>
      <c r="H785" s="312"/>
      <c r="I785" s="1052"/>
      <c r="J785" s="379">
        <v>1225</v>
      </c>
      <c r="K785" s="380" t="s">
        <v>5117</v>
      </c>
      <c r="L785" s="327">
        <v>1791378.9092000001</v>
      </c>
      <c r="M785" s="327">
        <v>5443211.2544</v>
      </c>
      <c r="N785" s="907"/>
      <c r="O785" s="301" t="s">
        <v>5118</v>
      </c>
      <c r="P785" s="301" t="s">
        <v>194</v>
      </c>
      <c r="Q785" s="301"/>
      <c r="R785" s="301"/>
      <c r="S785" s="301"/>
      <c r="T785" s="300" t="s">
        <v>5119</v>
      </c>
      <c r="U785" s="31" t="s">
        <v>16</v>
      </c>
      <c r="V785" s="31" t="s">
        <v>10</v>
      </c>
      <c r="W785" s="31" t="s">
        <v>16</v>
      </c>
      <c r="X785" s="97" t="s">
        <v>194</v>
      </c>
      <c r="Y785" s="97" t="s">
        <v>3731</v>
      </c>
      <c r="Z785" s="40" t="s">
        <v>604</v>
      </c>
      <c r="AA785" s="31"/>
      <c r="AB785" s="97" t="s">
        <v>5120</v>
      </c>
      <c r="AC785" s="31"/>
      <c r="AD785" s="31"/>
      <c r="AE785" s="31"/>
      <c r="AF785" s="31"/>
      <c r="AG785" s="372"/>
      <c r="AH785" s="372"/>
      <c r="AI785" s="30" t="s">
        <v>23</v>
      </c>
      <c r="AJ785" s="130"/>
      <c r="AK785" s="31"/>
      <c r="AL785" s="372"/>
      <c r="AM785" s="372"/>
      <c r="AN785" s="40" t="s">
        <v>5108</v>
      </c>
      <c r="AO785" s="40" t="s">
        <v>5121</v>
      </c>
      <c r="AP785" s="40" t="s">
        <v>6961</v>
      </c>
      <c r="AQ785" s="40" t="s">
        <v>1380</v>
      </c>
      <c r="AR785" s="41">
        <v>44208</v>
      </c>
      <c r="AS785" s="40" t="s">
        <v>1380</v>
      </c>
      <c r="AT785" s="41">
        <v>44208</v>
      </c>
      <c r="AU785" s="1108" t="s">
        <v>37</v>
      </c>
    </row>
    <row r="786" spans="1:47" ht="52.5" thickBot="1" x14ac:dyDescent="0.3">
      <c r="A786" s="341" t="s">
        <v>1739</v>
      </c>
      <c r="B786" s="181" t="s">
        <v>6829</v>
      </c>
      <c r="C786" s="585">
        <v>281</v>
      </c>
      <c r="D786" s="585" t="s">
        <v>53</v>
      </c>
      <c r="E786" s="585" t="s">
        <v>52</v>
      </c>
      <c r="F786" s="125" t="s">
        <v>567</v>
      </c>
      <c r="G786" s="125" t="s">
        <v>1972</v>
      </c>
      <c r="H786" s="126" t="s">
        <v>5572</v>
      </c>
      <c r="I786" s="247" t="s">
        <v>150</v>
      </c>
      <c r="J786" s="84">
        <v>1066</v>
      </c>
      <c r="K786" s="396" t="s">
        <v>1738</v>
      </c>
      <c r="L786" s="265">
        <v>1813443.9705000001</v>
      </c>
      <c r="M786" s="265">
        <v>5464858.7100999998</v>
      </c>
      <c r="N786" s="945"/>
      <c r="O786" s="109" t="s">
        <v>5125</v>
      </c>
      <c r="P786" s="84" t="s">
        <v>5</v>
      </c>
      <c r="Q786" s="109"/>
      <c r="R786" s="109"/>
      <c r="S786" s="109"/>
      <c r="T786" s="343" t="s">
        <v>1737</v>
      </c>
      <c r="U786" s="86" t="s">
        <v>16</v>
      </c>
      <c r="V786" s="86" t="s">
        <v>16</v>
      </c>
      <c r="W786" s="86" t="s">
        <v>16</v>
      </c>
      <c r="X786" s="86" t="s">
        <v>5</v>
      </c>
      <c r="Y786" s="86" t="s">
        <v>1736</v>
      </c>
      <c r="Z786" s="92" t="s">
        <v>402</v>
      </c>
      <c r="AA786" s="86">
        <v>2</v>
      </c>
      <c r="AB786" s="86" t="s">
        <v>1735</v>
      </c>
      <c r="AC786" s="86"/>
      <c r="AD786" s="86">
        <v>6.2</v>
      </c>
      <c r="AE786" s="86">
        <v>6.41</v>
      </c>
      <c r="AF786" s="86"/>
      <c r="AG786" s="387"/>
      <c r="AH786" s="387"/>
      <c r="AI786" s="94" t="s">
        <v>549</v>
      </c>
      <c r="AJ786" s="106" t="s">
        <v>66</v>
      </c>
      <c r="AK786" s="86"/>
      <c r="AL786" s="387"/>
      <c r="AM786" s="387"/>
      <c r="AN786" s="342" t="s">
        <v>1734</v>
      </c>
      <c r="AO786" s="92" t="s">
        <v>1733</v>
      </c>
      <c r="AP786" s="92" t="s">
        <v>6954</v>
      </c>
      <c r="AQ786" s="92" t="s">
        <v>1380</v>
      </c>
      <c r="AR786" s="93">
        <v>44246</v>
      </c>
      <c r="AS786" s="92" t="s">
        <v>1380</v>
      </c>
      <c r="AT786" s="93">
        <v>44095</v>
      </c>
      <c r="AU786" s="1108" t="s">
        <v>37</v>
      </c>
    </row>
    <row r="787" spans="1:47" ht="39.75" thickBot="1" x14ac:dyDescent="0.3">
      <c r="A787" s="339"/>
      <c r="B787" s="116"/>
      <c r="C787" s="95"/>
      <c r="D787" s="567"/>
      <c r="E787" s="567"/>
      <c r="F787" s="95"/>
      <c r="G787" s="95"/>
      <c r="H787" s="108"/>
      <c r="I787" s="122"/>
      <c r="J787" s="125">
        <v>1024</v>
      </c>
      <c r="K787" s="355" t="s">
        <v>1732</v>
      </c>
      <c r="L787" s="911">
        <v>1826470.69</v>
      </c>
      <c r="M787" s="911">
        <v>5480376.4643999999</v>
      </c>
      <c r="N787" s="126"/>
      <c r="O787" s="126" t="s">
        <v>1731</v>
      </c>
      <c r="P787" s="126" t="s">
        <v>5</v>
      </c>
      <c r="Q787" s="126"/>
      <c r="R787" s="126" t="s">
        <v>1730</v>
      </c>
      <c r="S787" s="126"/>
      <c r="T787" s="344" t="s">
        <v>9225</v>
      </c>
      <c r="U787" s="101" t="s">
        <v>10</v>
      </c>
      <c r="V787" s="31" t="s">
        <v>16</v>
      </c>
      <c r="W787" s="31" t="s">
        <v>16</v>
      </c>
      <c r="X787" s="31" t="s">
        <v>5</v>
      </c>
      <c r="Y787" s="97" t="s">
        <v>1729</v>
      </c>
      <c r="Z787" s="40" t="s">
        <v>24</v>
      </c>
      <c r="AA787" s="31"/>
      <c r="AB787" s="97" t="s">
        <v>1728</v>
      </c>
      <c r="AC787" s="31">
        <v>5.6</v>
      </c>
      <c r="AD787" s="31">
        <v>5.2</v>
      </c>
      <c r="AE787" s="31">
        <v>6</v>
      </c>
      <c r="AF787" s="31"/>
      <c r="AG787" s="372"/>
      <c r="AH787" s="372"/>
      <c r="AI787" s="30" t="s">
        <v>549</v>
      </c>
      <c r="AJ787" s="130" t="s">
        <v>13</v>
      </c>
      <c r="AK787" s="31"/>
      <c r="AL787" s="372"/>
      <c r="AM787" s="372"/>
      <c r="AN787" s="40" t="s">
        <v>1727</v>
      </c>
      <c r="AO787" s="40" t="s">
        <v>1726</v>
      </c>
      <c r="AP787" s="389" t="s">
        <v>7891</v>
      </c>
      <c r="AQ787" s="40" t="s">
        <v>1380</v>
      </c>
      <c r="AR787" s="41">
        <v>44081</v>
      </c>
      <c r="AS787" s="40" t="s">
        <v>1380</v>
      </c>
      <c r="AT787" s="41">
        <v>44084</v>
      </c>
      <c r="AU787" s="652" t="s">
        <v>37</v>
      </c>
    </row>
    <row r="788" spans="1:47" ht="39.75" thickBot="1" x14ac:dyDescent="0.3">
      <c r="A788" s="339"/>
      <c r="B788" s="116"/>
      <c r="C788" s="95"/>
      <c r="D788" s="567"/>
      <c r="E788" s="567"/>
      <c r="F788" s="95"/>
      <c r="G788" s="95"/>
      <c r="H788" s="108"/>
      <c r="I788" s="122"/>
      <c r="J788" s="125">
        <v>1131</v>
      </c>
      <c r="K788" s="355" t="s">
        <v>1725</v>
      </c>
      <c r="L788" s="911">
        <v>1826453.0600999999</v>
      </c>
      <c r="M788" s="911">
        <v>5480338.9522000002</v>
      </c>
      <c r="N788" s="126"/>
      <c r="O788" s="126" t="s">
        <v>1724</v>
      </c>
      <c r="P788" s="126" t="s">
        <v>194</v>
      </c>
      <c r="Q788" s="126"/>
      <c r="R788" s="126"/>
      <c r="S788" s="126"/>
      <c r="T788" s="344" t="s">
        <v>9223</v>
      </c>
      <c r="U788" s="101" t="s">
        <v>10</v>
      </c>
      <c r="V788" s="31" t="s">
        <v>16</v>
      </c>
      <c r="W788" s="31" t="s">
        <v>16</v>
      </c>
      <c r="X788" s="31" t="s">
        <v>194</v>
      </c>
      <c r="Y788" s="97" t="s">
        <v>1723</v>
      </c>
      <c r="Z788" s="40" t="s">
        <v>604</v>
      </c>
      <c r="AA788" s="31"/>
      <c r="AB788" s="97" t="s">
        <v>1722</v>
      </c>
      <c r="AC788" s="31"/>
      <c r="AD788" s="31"/>
      <c r="AE788" s="31"/>
      <c r="AF788" s="31"/>
      <c r="AG788" s="372"/>
      <c r="AH788" s="372"/>
      <c r="AI788" s="30" t="s">
        <v>23</v>
      </c>
      <c r="AJ788" s="130" t="s">
        <v>13</v>
      </c>
      <c r="AK788" s="31"/>
      <c r="AL788" s="372"/>
      <c r="AM788" s="372"/>
      <c r="AN788" s="40" t="s">
        <v>1721</v>
      </c>
      <c r="AO788" s="40" t="s">
        <v>1720</v>
      </c>
      <c r="AP788" s="389" t="s">
        <v>7891</v>
      </c>
      <c r="AQ788" s="40" t="s">
        <v>1380</v>
      </c>
      <c r="AR788" s="41">
        <v>44081</v>
      </c>
      <c r="AS788" s="40" t="s">
        <v>1380</v>
      </c>
      <c r="AT788" s="41">
        <v>44088</v>
      </c>
      <c r="AU788" s="652" t="s">
        <v>37</v>
      </c>
    </row>
    <row r="789" spans="1:47" ht="65.25" thickBot="1" x14ac:dyDescent="0.3">
      <c r="A789" s="339"/>
      <c r="B789" s="116"/>
      <c r="C789" s="95"/>
      <c r="D789" s="567"/>
      <c r="E789" s="567"/>
      <c r="F789" s="95"/>
      <c r="G789" s="95"/>
      <c r="H789" s="108"/>
      <c r="I789" s="122"/>
      <c r="J789" s="125">
        <v>1162</v>
      </c>
      <c r="K789" s="396" t="s">
        <v>1719</v>
      </c>
      <c r="L789" s="911">
        <v>1822648.5378</v>
      </c>
      <c r="M789" s="911">
        <v>5476044.2107999995</v>
      </c>
      <c r="N789" s="126"/>
      <c r="O789" s="126" t="s">
        <v>41</v>
      </c>
      <c r="P789" s="126" t="s">
        <v>61</v>
      </c>
      <c r="Q789" s="126"/>
      <c r="R789" s="126"/>
      <c r="S789" s="126"/>
      <c r="T789" s="344" t="s">
        <v>1718</v>
      </c>
      <c r="U789" s="101" t="s">
        <v>10</v>
      </c>
      <c r="V789" s="31" t="s">
        <v>16</v>
      </c>
      <c r="W789" s="31" t="s">
        <v>16</v>
      </c>
      <c r="X789" s="97" t="s">
        <v>61</v>
      </c>
      <c r="Y789" s="97" t="s">
        <v>5126</v>
      </c>
      <c r="Z789" s="40" t="s">
        <v>58</v>
      </c>
      <c r="AA789" s="31">
        <v>2</v>
      </c>
      <c r="AB789" s="97" t="s">
        <v>1708</v>
      </c>
      <c r="AC789" s="31">
        <v>18.3</v>
      </c>
      <c r="AD789" s="31">
        <v>17.100000000000001</v>
      </c>
      <c r="AE789" s="31">
        <v>19.5</v>
      </c>
      <c r="AF789" s="31"/>
      <c r="AG789" s="372"/>
      <c r="AH789" s="372"/>
      <c r="AI789" s="30" t="s">
        <v>23</v>
      </c>
      <c r="AJ789" s="130"/>
      <c r="AK789" s="31"/>
      <c r="AL789" s="372"/>
      <c r="AM789" s="372"/>
      <c r="AN789" s="40" t="s">
        <v>1715</v>
      </c>
      <c r="AO789" s="40" t="s">
        <v>1707</v>
      </c>
      <c r="AP789" s="389" t="s">
        <v>7891</v>
      </c>
      <c r="AQ789" s="40" t="s">
        <v>1380</v>
      </c>
      <c r="AR789" s="41">
        <v>44091</v>
      </c>
      <c r="AS789" s="40" t="s">
        <v>1380</v>
      </c>
      <c r="AT789" s="93">
        <v>44095</v>
      </c>
      <c r="AU789" s="652" t="s">
        <v>37</v>
      </c>
    </row>
    <row r="790" spans="1:47" ht="65.25" thickBot="1" x14ac:dyDescent="0.3">
      <c r="A790" s="339"/>
      <c r="B790" s="116"/>
      <c r="C790" s="95"/>
      <c r="D790" s="567"/>
      <c r="E790" s="567"/>
      <c r="F790" s="95"/>
      <c r="G790" s="95"/>
      <c r="H790" s="108"/>
      <c r="I790" s="122"/>
      <c r="J790" s="125">
        <v>1132</v>
      </c>
      <c r="K790" s="396" t="s">
        <v>1717</v>
      </c>
      <c r="L790" s="911">
        <v>1822434.2248</v>
      </c>
      <c r="M790" s="911">
        <v>5475794.1791000003</v>
      </c>
      <c r="N790" s="126"/>
      <c r="O790" s="126" t="s">
        <v>41</v>
      </c>
      <c r="P790" s="126" t="s">
        <v>61</v>
      </c>
      <c r="Q790" s="126"/>
      <c r="R790" s="126"/>
      <c r="S790" s="126"/>
      <c r="T790" s="344" t="s">
        <v>1089</v>
      </c>
      <c r="U790" s="101" t="s">
        <v>10</v>
      </c>
      <c r="V790" s="31" t="s">
        <v>16</v>
      </c>
      <c r="W790" s="31" t="s">
        <v>16</v>
      </c>
      <c r="X790" s="97" t="s">
        <v>61</v>
      </c>
      <c r="Y790" s="97" t="s">
        <v>1716</v>
      </c>
      <c r="Z790" s="40" t="s">
        <v>58</v>
      </c>
      <c r="AA790" s="31">
        <v>2</v>
      </c>
      <c r="AB790" s="97" t="s">
        <v>1708</v>
      </c>
      <c r="AC790" s="31">
        <v>18.3</v>
      </c>
      <c r="AD790" s="31">
        <v>17.100000000000001</v>
      </c>
      <c r="AE790" s="31">
        <v>19.5</v>
      </c>
      <c r="AF790" s="31"/>
      <c r="AG790" s="372"/>
      <c r="AH790" s="372"/>
      <c r="AI790" s="30" t="s">
        <v>23</v>
      </c>
      <c r="AJ790" s="130"/>
      <c r="AK790" s="31"/>
      <c r="AL790" s="372"/>
      <c r="AM790" s="372"/>
      <c r="AN790" s="40" t="s">
        <v>1715</v>
      </c>
      <c r="AO790" s="40" t="s">
        <v>1707</v>
      </c>
      <c r="AP790" s="389" t="s">
        <v>7891</v>
      </c>
      <c r="AQ790" s="40" t="s">
        <v>1380</v>
      </c>
      <c r="AR790" s="41">
        <v>44091</v>
      </c>
      <c r="AS790" s="40" t="s">
        <v>1380</v>
      </c>
      <c r="AT790" s="93">
        <v>44095</v>
      </c>
      <c r="AU790" s="652" t="s">
        <v>37</v>
      </c>
    </row>
    <row r="791" spans="1:47" ht="78" thickBot="1" x14ac:dyDescent="0.3">
      <c r="A791" s="339"/>
      <c r="B791" s="116"/>
      <c r="C791" s="95"/>
      <c r="D791" s="567"/>
      <c r="E791" s="567"/>
      <c r="F791" s="95"/>
      <c r="G791" s="95"/>
      <c r="H791" s="108"/>
      <c r="I791" s="122"/>
      <c r="J791" s="125">
        <v>1025</v>
      </c>
      <c r="K791" s="396" t="s">
        <v>1714</v>
      </c>
      <c r="L791" s="911">
        <v>1822561.2250999999</v>
      </c>
      <c r="M791" s="911">
        <v>5475939.7001999998</v>
      </c>
      <c r="N791" s="126"/>
      <c r="O791" s="126" t="s">
        <v>1849</v>
      </c>
      <c r="P791" s="126" t="s">
        <v>5</v>
      </c>
      <c r="Q791" s="126"/>
      <c r="R791" s="126"/>
      <c r="S791" s="126"/>
      <c r="T791" s="344" t="s">
        <v>1713</v>
      </c>
      <c r="U791" s="101" t="s">
        <v>10</v>
      </c>
      <c r="V791" s="31" t="s">
        <v>16</v>
      </c>
      <c r="W791" s="31" t="s">
        <v>16</v>
      </c>
      <c r="X791" s="97" t="s">
        <v>61</v>
      </c>
      <c r="Y791" s="97" t="s">
        <v>1712</v>
      </c>
      <c r="Z791" s="40" t="s">
        <v>24</v>
      </c>
      <c r="AA791" s="31"/>
      <c r="AB791" s="97" t="s">
        <v>1708</v>
      </c>
      <c r="AC791" s="31">
        <v>18.3</v>
      </c>
      <c r="AD791" s="31">
        <v>17.100000000000001</v>
      </c>
      <c r="AE791" s="31">
        <v>19.5</v>
      </c>
      <c r="AF791" s="31"/>
      <c r="AG791" s="372"/>
      <c r="AH791" s="372"/>
      <c r="AI791" s="30" t="s">
        <v>23</v>
      </c>
      <c r="AJ791" s="130"/>
      <c r="AK791" s="31"/>
      <c r="AL791" s="372"/>
      <c r="AM791" s="372"/>
      <c r="AN791" s="40" t="s">
        <v>5127</v>
      </c>
      <c r="AO791" s="40" t="s">
        <v>5128</v>
      </c>
      <c r="AP791" s="389" t="s">
        <v>7891</v>
      </c>
      <c r="AQ791" s="40" t="s">
        <v>1380</v>
      </c>
      <c r="AR791" s="41">
        <v>44246</v>
      </c>
      <c r="AS791" s="40" t="s">
        <v>1380</v>
      </c>
      <c r="AT791" s="93">
        <v>44095</v>
      </c>
      <c r="AU791" s="652" t="s">
        <v>37</v>
      </c>
    </row>
    <row r="792" spans="1:47" ht="78" thickBot="1" x14ac:dyDescent="0.3">
      <c r="A792" s="339"/>
      <c r="B792" s="116"/>
      <c r="C792" s="95"/>
      <c r="D792" s="567"/>
      <c r="E792" s="567"/>
      <c r="F792" s="95"/>
      <c r="G792" s="95"/>
      <c r="H792" s="108"/>
      <c r="I792" s="122"/>
      <c r="J792" s="84">
        <v>1184</v>
      </c>
      <c r="K792" s="396" t="s">
        <v>1711</v>
      </c>
      <c r="L792" s="265">
        <v>1822384.8023000001</v>
      </c>
      <c r="M792" s="265">
        <v>5475757.9137000004</v>
      </c>
      <c r="N792" s="109"/>
      <c r="O792" s="109" t="s">
        <v>1849</v>
      </c>
      <c r="P792" s="109" t="s">
        <v>5</v>
      </c>
      <c r="Q792" s="109"/>
      <c r="R792" s="109"/>
      <c r="S792" s="109"/>
      <c r="T792" s="343" t="s">
        <v>1710</v>
      </c>
      <c r="U792" s="85" t="s">
        <v>10</v>
      </c>
      <c r="V792" s="86" t="s">
        <v>16</v>
      </c>
      <c r="W792" s="86" t="s">
        <v>16</v>
      </c>
      <c r="X792" s="197" t="s">
        <v>61</v>
      </c>
      <c r="Y792" s="197" t="s">
        <v>1709</v>
      </c>
      <c r="Z792" s="92" t="s">
        <v>24</v>
      </c>
      <c r="AA792" s="86"/>
      <c r="AB792" s="197" t="s">
        <v>1708</v>
      </c>
      <c r="AC792" s="86">
        <v>18.3</v>
      </c>
      <c r="AD792" s="86">
        <v>17.100000000000001</v>
      </c>
      <c r="AE792" s="86">
        <v>19.5</v>
      </c>
      <c r="AF792" s="86"/>
      <c r="AG792" s="387"/>
      <c r="AH792" s="387"/>
      <c r="AI792" s="94" t="s">
        <v>23</v>
      </c>
      <c r="AJ792" s="106"/>
      <c r="AK792" s="86"/>
      <c r="AL792" s="387"/>
      <c r="AM792" s="387"/>
      <c r="AN792" s="92" t="s">
        <v>5129</v>
      </c>
      <c r="AO792" s="92" t="s">
        <v>1707</v>
      </c>
      <c r="AP792" s="342" t="s">
        <v>7891</v>
      </c>
      <c r="AQ792" s="92" t="s">
        <v>1380</v>
      </c>
      <c r="AR792" s="93">
        <v>44246</v>
      </c>
      <c r="AS792" s="92" t="s">
        <v>1380</v>
      </c>
      <c r="AT792" s="93">
        <v>44095</v>
      </c>
      <c r="AU792" s="1108" t="s">
        <v>37</v>
      </c>
    </row>
    <row r="793" spans="1:47" ht="39.75" thickBot="1" x14ac:dyDescent="0.3">
      <c r="A793" s="339"/>
      <c r="B793" s="116"/>
      <c r="C793" s="95"/>
      <c r="D793" s="567"/>
      <c r="E793" s="567"/>
      <c r="F793" s="95"/>
      <c r="G793" s="95"/>
      <c r="H793" s="108"/>
      <c r="I793" s="122"/>
      <c r="J793" s="189">
        <v>1220</v>
      </c>
      <c r="K793" s="355" t="s">
        <v>5130</v>
      </c>
      <c r="L793" s="911">
        <v>1816366.8938</v>
      </c>
      <c r="M793" s="911">
        <v>5468309.2132000001</v>
      </c>
      <c r="N793" s="126" t="s">
        <v>5131</v>
      </c>
      <c r="O793" s="126" t="s">
        <v>5132</v>
      </c>
      <c r="P793" s="126" t="s">
        <v>61</v>
      </c>
      <c r="Q793" s="126"/>
      <c r="R793" s="126"/>
      <c r="S793" s="126"/>
      <c r="T793" s="344" t="s">
        <v>5133</v>
      </c>
      <c r="U793" s="101" t="s">
        <v>16</v>
      </c>
      <c r="V793" s="31" t="s">
        <v>16</v>
      </c>
      <c r="W793" s="31" t="s">
        <v>16</v>
      </c>
      <c r="X793" s="97" t="s">
        <v>61</v>
      </c>
      <c r="Y793" s="97" t="s">
        <v>5134</v>
      </c>
      <c r="Z793" s="40" t="s">
        <v>604</v>
      </c>
      <c r="AA793" s="31"/>
      <c r="AB793" s="97" t="s">
        <v>5135</v>
      </c>
      <c r="AC793" s="31"/>
      <c r="AD793" s="31"/>
      <c r="AE793" s="31"/>
      <c r="AF793" s="31"/>
      <c r="AG793" s="372"/>
      <c r="AH793" s="372"/>
      <c r="AI793" s="30" t="s">
        <v>23</v>
      </c>
      <c r="AJ793" s="130"/>
      <c r="AK793" s="31"/>
      <c r="AL793" s="372"/>
      <c r="AM793" s="372"/>
      <c r="AN793" s="40" t="s">
        <v>5136</v>
      </c>
      <c r="AO793" s="40" t="s">
        <v>5137</v>
      </c>
      <c r="AP793" s="389" t="s">
        <v>6962</v>
      </c>
      <c r="AQ793" s="40" t="s">
        <v>1380</v>
      </c>
      <c r="AR793" s="93">
        <v>44246</v>
      </c>
      <c r="AS793" s="40" t="s">
        <v>1380</v>
      </c>
      <c r="AT793" s="41">
        <v>44208</v>
      </c>
      <c r="AU793" s="652" t="s">
        <v>37</v>
      </c>
    </row>
    <row r="794" spans="1:47" ht="39.75" thickBot="1" x14ac:dyDescent="0.3">
      <c r="A794" s="336"/>
      <c r="B794" s="196"/>
      <c r="C794" s="96"/>
      <c r="D794" s="566"/>
      <c r="E794" s="566"/>
      <c r="F794" s="96"/>
      <c r="G794" s="96"/>
      <c r="H794" s="107"/>
      <c r="I794" s="123"/>
      <c r="J794" s="89">
        <v>1221</v>
      </c>
      <c r="K794" s="396" t="s">
        <v>5138</v>
      </c>
      <c r="L794" s="265">
        <v>1816234.6058</v>
      </c>
      <c r="M794" s="265">
        <v>5468122.6699999999</v>
      </c>
      <c r="N794" s="109"/>
      <c r="O794" s="109" t="s">
        <v>5139</v>
      </c>
      <c r="P794" s="109" t="s">
        <v>61</v>
      </c>
      <c r="Q794" s="109"/>
      <c r="R794" s="109"/>
      <c r="S794" s="109"/>
      <c r="T794" s="343" t="s">
        <v>5140</v>
      </c>
      <c r="U794" s="85" t="s">
        <v>16</v>
      </c>
      <c r="V794" s="86" t="s">
        <v>16</v>
      </c>
      <c r="W794" s="86" t="s">
        <v>16</v>
      </c>
      <c r="X794" s="197" t="s">
        <v>61</v>
      </c>
      <c r="Y794" s="197" t="s">
        <v>5141</v>
      </c>
      <c r="Z794" s="92" t="s">
        <v>604</v>
      </c>
      <c r="AA794" s="86"/>
      <c r="AB794" s="197" t="s">
        <v>5142</v>
      </c>
      <c r="AC794" s="86">
        <v>10.6</v>
      </c>
      <c r="AD794" s="86">
        <v>9.6999999999999993</v>
      </c>
      <c r="AE794" s="86">
        <v>11.5</v>
      </c>
      <c r="AF794" s="86"/>
      <c r="AG794" s="387"/>
      <c r="AH794" s="387"/>
      <c r="AI794" s="94" t="s">
        <v>256</v>
      </c>
      <c r="AJ794" s="106"/>
      <c r="AK794" s="86"/>
      <c r="AL794" s="387"/>
      <c r="AM794" s="387"/>
      <c r="AN794" s="92" t="s">
        <v>6963</v>
      </c>
      <c r="AO794" s="92" t="s">
        <v>5143</v>
      </c>
      <c r="AP794" s="342" t="s">
        <v>6961</v>
      </c>
      <c r="AQ794" s="92" t="s">
        <v>1380</v>
      </c>
      <c r="AR794" s="93">
        <v>44246</v>
      </c>
      <c r="AS794" s="92" t="s">
        <v>1380</v>
      </c>
      <c r="AT794" s="93">
        <v>44208</v>
      </c>
      <c r="AU794" s="1108" t="s">
        <v>37</v>
      </c>
    </row>
    <row r="795" spans="1:47" s="135" customFormat="1" ht="51.75" x14ac:dyDescent="0.25">
      <c r="A795" s="807" t="s">
        <v>388</v>
      </c>
      <c r="B795" s="349" t="s">
        <v>388</v>
      </c>
      <c r="C795" s="157">
        <v>560</v>
      </c>
      <c r="D795" s="592" t="s">
        <v>53</v>
      </c>
      <c r="E795" s="592"/>
      <c r="F795" s="157" t="s">
        <v>389</v>
      </c>
      <c r="G795" s="158" t="s">
        <v>1974</v>
      </c>
      <c r="H795" s="159" t="s">
        <v>3185</v>
      </c>
      <c r="I795" s="450" t="s">
        <v>3193</v>
      </c>
      <c r="J795" s="157">
        <v>72</v>
      </c>
      <c r="K795" s="433" t="s">
        <v>412</v>
      </c>
      <c r="L795" s="924">
        <v>1597414.6853</v>
      </c>
      <c r="M795" s="924">
        <v>5376642.1612999998</v>
      </c>
      <c r="N795" s="159"/>
      <c r="O795" s="159" t="s">
        <v>414</v>
      </c>
      <c r="P795" s="159" t="s">
        <v>61</v>
      </c>
      <c r="Q795" s="159"/>
      <c r="R795" s="159"/>
      <c r="S795" s="159"/>
      <c r="T795" s="480" t="s">
        <v>4696</v>
      </c>
      <c r="U795" s="169" t="s">
        <v>16</v>
      </c>
      <c r="V795" s="151" t="s">
        <v>85</v>
      </c>
      <c r="W795" s="151" t="s">
        <v>85</v>
      </c>
      <c r="X795" s="153" t="s">
        <v>61</v>
      </c>
      <c r="Y795" s="153" t="s">
        <v>415</v>
      </c>
      <c r="Z795" s="152" t="s">
        <v>58</v>
      </c>
      <c r="AA795" s="153" t="s">
        <v>419</v>
      </c>
      <c r="AB795" s="151" t="s">
        <v>2043</v>
      </c>
      <c r="AC795" s="151">
        <v>18</v>
      </c>
      <c r="AD795" s="151">
        <v>16</v>
      </c>
      <c r="AE795" s="151">
        <v>20</v>
      </c>
      <c r="AF795" s="151"/>
      <c r="AG795" s="442"/>
      <c r="AH795" s="442"/>
      <c r="AI795" s="30" t="s">
        <v>256</v>
      </c>
      <c r="AJ795" s="130" t="s">
        <v>13</v>
      </c>
      <c r="AK795" s="202"/>
      <c r="AL795" s="442"/>
      <c r="AM795" s="442"/>
      <c r="AN795" s="30" t="s">
        <v>417</v>
      </c>
      <c r="AO795" s="30" t="s">
        <v>416</v>
      </c>
      <c r="AP795" s="152" t="s">
        <v>413</v>
      </c>
      <c r="AQ795" s="152" t="s">
        <v>37</v>
      </c>
      <c r="AR795" s="170">
        <v>44040</v>
      </c>
      <c r="AS795" s="152" t="s">
        <v>37</v>
      </c>
      <c r="AT795" s="361"/>
      <c r="AU795" s="1112"/>
    </row>
    <row r="796" spans="1:47" s="135" customFormat="1" ht="26.25" x14ac:dyDescent="0.25">
      <c r="A796" s="808"/>
      <c r="B796" s="550"/>
      <c r="C796" s="161"/>
      <c r="D796" s="573"/>
      <c r="E796" s="573"/>
      <c r="F796" s="161"/>
      <c r="G796" s="162"/>
      <c r="H796" s="163"/>
      <c r="I796" s="423"/>
      <c r="J796" s="161">
        <v>73</v>
      </c>
      <c r="K796" s="434" t="s">
        <v>420</v>
      </c>
      <c r="L796" s="919">
        <v>1597856.0615999999</v>
      </c>
      <c r="M796" s="919">
        <v>5376866.7923999997</v>
      </c>
      <c r="N796" s="163"/>
      <c r="O796" s="163" t="s">
        <v>421</v>
      </c>
      <c r="P796" s="163" t="s">
        <v>5</v>
      </c>
      <c r="Q796" s="163"/>
      <c r="R796" s="163"/>
      <c r="S796" s="163"/>
      <c r="T796" s="175" t="s">
        <v>473</v>
      </c>
      <c r="U796" s="102" t="s">
        <v>16</v>
      </c>
      <c r="V796" s="24" t="s">
        <v>85</v>
      </c>
      <c r="W796" s="24" t="s">
        <v>85</v>
      </c>
      <c r="X796" s="117" t="s">
        <v>5</v>
      </c>
      <c r="Y796" s="117" t="s">
        <v>426</v>
      </c>
      <c r="Z796" s="46" t="s">
        <v>58</v>
      </c>
      <c r="AA796" s="24">
        <v>1</v>
      </c>
      <c r="AB796" s="173" t="s">
        <v>428</v>
      </c>
      <c r="AC796" s="136"/>
      <c r="AD796" s="136">
        <v>11</v>
      </c>
      <c r="AE796" s="136">
        <v>18</v>
      </c>
      <c r="AF796" s="136"/>
      <c r="AG796" s="350"/>
      <c r="AH796" s="350"/>
      <c r="AI796" s="45" t="s">
        <v>256</v>
      </c>
      <c r="AJ796" s="103" t="s">
        <v>13</v>
      </c>
      <c r="AK796" s="173"/>
      <c r="AL796" s="350"/>
      <c r="AM796" s="350"/>
      <c r="AN796" s="45" t="s">
        <v>429</v>
      </c>
      <c r="AO796" s="45" t="s">
        <v>430</v>
      </c>
      <c r="AP796" s="137" t="s">
        <v>413</v>
      </c>
      <c r="AQ796" s="137" t="s">
        <v>37</v>
      </c>
      <c r="AR796" s="139">
        <v>44042</v>
      </c>
      <c r="AS796" s="137" t="s">
        <v>37</v>
      </c>
      <c r="AT796" s="358"/>
      <c r="AU796" s="1110"/>
    </row>
    <row r="797" spans="1:47" s="135" customFormat="1" ht="26.25" x14ac:dyDescent="0.25">
      <c r="A797" s="808"/>
      <c r="B797" s="550"/>
      <c r="C797" s="161"/>
      <c r="D797" s="573"/>
      <c r="E797" s="573"/>
      <c r="F797" s="161"/>
      <c r="G797" s="162"/>
      <c r="H797" s="163"/>
      <c r="I797" s="423"/>
      <c r="J797" s="161">
        <v>74</v>
      </c>
      <c r="K797" s="434" t="s">
        <v>422</v>
      </c>
      <c r="L797" s="919">
        <v>1597876.8274000001</v>
      </c>
      <c r="M797" s="919">
        <v>5376878.6217</v>
      </c>
      <c r="N797" s="163"/>
      <c r="O797" s="163" t="s">
        <v>423</v>
      </c>
      <c r="P797" s="163" t="s">
        <v>5</v>
      </c>
      <c r="Q797" s="163"/>
      <c r="R797" s="163"/>
      <c r="S797" s="163"/>
      <c r="T797" s="175" t="s">
        <v>474</v>
      </c>
      <c r="U797" s="102" t="s">
        <v>16</v>
      </c>
      <c r="V797" s="24" t="s">
        <v>85</v>
      </c>
      <c r="W797" s="24" t="s">
        <v>85</v>
      </c>
      <c r="X797" s="117" t="s">
        <v>5</v>
      </c>
      <c r="Y797" s="117" t="s">
        <v>695</v>
      </c>
      <c r="Z797" s="46" t="s">
        <v>58</v>
      </c>
      <c r="AA797" s="24">
        <v>1</v>
      </c>
      <c r="AB797" s="173" t="s">
        <v>428</v>
      </c>
      <c r="AC797" s="136"/>
      <c r="AD797" s="136">
        <v>11</v>
      </c>
      <c r="AE797" s="136">
        <v>18</v>
      </c>
      <c r="AF797" s="136"/>
      <c r="AG797" s="350"/>
      <c r="AH797" s="350"/>
      <c r="AI797" s="45" t="s">
        <v>256</v>
      </c>
      <c r="AJ797" s="103" t="s">
        <v>13</v>
      </c>
      <c r="AK797" s="173"/>
      <c r="AL797" s="350"/>
      <c r="AM797" s="350"/>
      <c r="AN797" s="45" t="s">
        <v>429</v>
      </c>
      <c r="AO797" s="45" t="s">
        <v>430</v>
      </c>
      <c r="AP797" s="137" t="s">
        <v>413</v>
      </c>
      <c r="AQ797" s="137" t="s">
        <v>37</v>
      </c>
      <c r="AR797" s="139">
        <v>44042</v>
      </c>
      <c r="AS797" s="137" t="s">
        <v>37</v>
      </c>
      <c r="AT797" s="358"/>
      <c r="AU797" s="1110"/>
    </row>
    <row r="798" spans="1:47" s="135" customFormat="1" ht="26.25" x14ac:dyDescent="0.25">
      <c r="A798" s="808"/>
      <c r="B798" s="550"/>
      <c r="C798" s="161"/>
      <c r="D798" s="573"/>
      <c r="E798" s="573"/>
      <c r="F798" s="161"/>
      <c r="G798" s="162"/>
      <c r="H798" s="163"/>
      <c r="I798" s="423"/>
      <c r="J798" s="161">
        <v>75</v>
      </c>
      <c r="K798" s="434" t="s">
        <v>424</v>
      </c>
      <c r="L798" s="919">
        <v>1597897.8988000001</v>
      </c>
      <c r="M798" s="919">
        <v>5376893.0475000003</v>
      </c>
      <c r="N798" s="163"/>
      <c r="O798" s="163" t="s">
        <v>425</v>
      </c>
      <c r="P798" s="163" t="s">
        <v>5</v>
      </c>
      <c r="Q798" s="163"/>
      <c r="R798" s="163"/>
      <c r="S798" s="163"/>
      <c r="T798" s="175" t="s">
        <v>475</v>
      </c>
      <c r="U798" s="102" t="s">
        <v>16</v>
      </c>
      <c r="V798" s="24" t="s">
        <v>85</v>
      </c>
      <c r="W798" s="24" t="s">
        <v>85</v>
      </c>
      <c r="X798" s="117" t="s">
        <v>5</v>
      </c>
      <c r="Y798" s="117" t="s">
        <v>427</v>
      </c>
      <c r="Z798" s="46" t="s">
        <v>24</v>
      </c>
      <c r="AA798" s="24">
        <v>1</v>
      </c>
      <c r="AB798" s="173" t="s">
        <v>428</v>
      </c>
      <c r="AC798" s="136"/>
      <c r="AD798" s="136">
        <v>11</v>
      </c>
      <c r="AE798" s="136">
        <v>18</v>
      </c>
      <c r="AF798" s="136"/>
      <c r="AG798" s="350"/>
      <c r="AH798" s="350"/>
      <c r="AI798" s="45" t="s">
        <v>256</v>
      </c>
      <c r="AJ798" s="103" t="s">
        <v>13</v>
      </c>
      <c r="AK798" s="173"/>
      <c r="AL798" s="350"/>
      <c r="AM798" s="350"/>
      <c r="AN798" s="45" t="s">
        <v>429</v>
      </c>
      <c r="AO798" s="45" t="s">
        <v>430</v>
      </c>
      <c r="AP798" s="137" t="s">
        <v>413</v>
      </c>
      <c r="AQ798" s="137" t="s">
        <v>37</v>
      </c>
      <c r="AR798" s="139">
        <v>44042</v>
      </c>
      <c r="AS798" s="137" t="s">
        <v>37</v>
      </c>
      <c r="AT798" s="358"/>
      <c r="AU798" s="1110"/>
    </row>
    <row r="799" spans="1:47" s="135" customFormat="1" ht="51.75" x14ac:dyDescent="0.25">
      <c r="A799" s="808"/>
      <c r="B799" s="550"/>
      <c r="C799" s="161"/>
      <c r="D799" s="573"/>
      <c r="E799" s="573"/>
      <c r="F799" s="161"/>
      <c r="G799" s="162"/>
      <c r="H799" s="163"/>
      <c r="I799" s="423"/>
      <c r="J799" s="161">
        <v>76</v>
      </c>
      <c r="K799" s="434" t="s">
        <v>431</v>
      </c>
      <c r="L799" s="919">
        <v>1598350.3677999999</v>
      </c>
      <c r="M799" s="919">
        <v>5377128.5640000002</v>
      </c>
      <c r="N799" s="163"/>
      <c r="O799" s="163">
        <v>4.5</v>
      </c>
      <c r="P799" s="163" t="s">
        <v>5</v>
      </c>
      <c r="Q799" s="163"/>
      <c r="R799" s="163"/>
      <c r="S799" s="163" t="s">
        <v>433</v>
      </c>
      <c r="T799" s="175" t="s">
        <v>433</v>
      </c>
      <c r="U799" s="102" t="s">
        <v>16</v>
      </c>
      <c r="V799" s="24" t="s">
        <v>16</v>
      </c>
      <c r="W799" s="24" t="s">
        <v>16</v>
      </c>
      <c r="X799" s="117" t="s">
        <v>5</v>
      </c>
      <c r="Y799" s="117" t="s">
        <v>434</v>
      </c>
      <c r="Z799" s="46" t="s">
        <v>58</v>
      </c>
      <c r="AA799" s="24">
        <v>1</v>
      </c>
      <c r="AB799" s="173" t="s">
        <v>436</v>
      </c>
      <c r="AC799" s="136">
        <v>11</v>
      </c>
      <c r="AD799" s="136">
        <v>9.1999999999999993</v>
      </c>
      <c r="AE799" s="136">
        <v>13.5</v>
      </c>
      <c r="AF799" s="136"/>
      <c r="AG799" s="350"/>
      <c r="AH799" s="350"/>
      <c r="AI799" s="45" t="s">
        <v>376</v>
      </c>
      <c r="AJ799" s="103" t="s">
        <v>13</v>
      </c>
      <c r="AK799" s="173"/>
      <c r="AL799" s="350"/>
      <c r="AM799" s="350"/>
      <c r="AN799" s="45" t="s">
        <v>437</v>
      </c>
      <c r="AO799" s="45" t="s">
        <v>438</v>
      </c>
      <c r="AP799" s="137" t="s">
        <v>413</v>
      </c>
      <c r="AQ799" s="137" t="s">
        <v>37</v>
      </c>
      <c r="AR799" s="139">
        <v>44042</v>
      </c>
      <c r="AS799" s="137" t="s">
        <v>37</v>
      </c>
      <c r="AT799" s="358"/>
      <c r="AU799" s="1110"/>
    </row>
    <row r="800" spans="1:47" s="135" customFormat="1" ht="52.5" thickBot="1" x14ac:dyDescent="0.3">
      <c r="A800" s="808"/>
      <c r="B800" s="550"/>
      <c r="C800" s="161"/>
      <c r="D800" s="573"/>
      <c r="E800" s="573"/>
      <c r="F800" s="161"/>
      <c r="G800" s="162"/>
      <c r="H800" s="163"/>
      <c r="I800" s="423"/>
      <c r="J800" s="165">
        <v>77</v>
      </c>
      <c r="K800" s="435" t="s">
        <v>432</v>
      </c>
      <c r="L800" s="925">
        <v>1598469.7104</v>
      </c>
      <c r="M800" s="925">
        <v>5377183.2571</v>
      </c>
      <c r="N800" s="167"/>
      <c r="O800" s="167">
        <v>4.2</v>
      </c>
      <c r="P800" s="167" t="s">
        <v>5</v>
      </c>
      <c r="Q800" s="167"/>
      <c r="R800" s="167"/>
      <c r="S800" s="167" t="s">
        <v>433</v>
      </c>
      <c r="T800" s="200" t="s">
        <v>433</v>
      </c>
      <c r="U800" s="104" t="s">
        <v>16</v>
      </c>
      <c r="V800" s="25" t="s">
        <v>16</v>
      </c>
      <c r="W800" s="25" t="s">
        <v>16</v>
      </c>
      <c r="X800" s="120" t="s">
        <v>5</v>
      </c>
      <c r="Y800" s="120" t="s">
        <v>435</v>
      </c>
      <c r="Z800" s="52" t="s">
        <v>58</v>
      </c>
      <c r="AA800" s="25">
        <v>1</v>
      </c>
      <c r="AB800" s="201" t="s">
        <v>436</v>
      </c>
      <c r="AC800" s="154">
        <v>11</v>
      </c>
      <c r="AD800" s="154">
        <v>9.1999999999999993</v>
      </c>
      <c r="AE800" s="154">
        <v>13.5</v>
      </c>
      <c r="AF800" s="154"/>
      <c r="AG800" s="443"/>
      <c r="AH800" s="443"/>
      <c r="AI800" s="51" t="s">
        <v>376</v>
      </c>
      <c r="AJ800" s="105" t="s">
        <v>13</v>
      </c>
      <c r="AK800" s="201"/>
      <c r="AL800" s="443"/>
      <c r="AM800" s="443"/>
      <c r="AN800" s="51" t="s">
        <v>437</v>
      </c>
      <c r="AO800" s="51" t="s">
        <v>438</v>
      </c>
      <c r="AP800" s="155" t="s">
        <v>413</v>
      </c>
      <c r="AQ800" s="155" t="s">
        <v>37</v>
      </c>
      <c r="AR800" s="172">
        <v>44042</v>
      </c>
      <c r="AS800" s="155" t="s">
        <v>37</v>
      </c>
      <c r="AT800" s="362"/>
      <c r="AU800" s="1111"/>
    </row>
    <row r="801" spans="1:47" s="135" customFormat="1" ht="77.25" x14ac:dyDescent="0.25">
      <c r="A801" s="808"/>
      <c r="B801" s="550"/>
      <c r="C801" s="161"/>
      <c r="D801" s="573"/>
      <c r="E801" s="573"/>
      <c r="F801" s="161"/>
      <c r="G801" s="162"/>
      <c r="H801" s="163"/>
      <c r="I801" s="423"/>
      <c r="J801" s="161">
        <v>64</v>
      </c>
      <c r="K801" s="434" t="s">
        <v>3142</v>
      </c>
      <c r="L801" s="919">
        <v>1616265.5955000001</v>
      </c>
      <c r="M801" s="919">
        <v>5386809.5284000002</v>
      </c>
      <c r="N801" s="163"/>
      <c r="O801" s="163" t="s">
        <v>41</v>
      </c>
      <c r="P801" s="163" t="s">
        <v>5</v>
      </c>
      <c r="Q801" s="437"/>
      <c r="R801" s="437"/>
      <c r="S801" s="437"/>
      <c r="T801" s="175" t="s">
        <v>3185</v>
      </c>
      <c r="U801" s="138" t="s">
        <v>10</v>
      </c>
      <c r="V801" s="136" t="s">
        <v>10</v>
      </c>
      <c r="W801" s="136" t="s">
        <v>10</v>
      </c>
      <c r="X801" s="132" t="s">
        <v>5</v>
      </c>
      <c r="Y801" s="132" t="s">
        <v>3167</v>
      </c>
      <c r="Z801" s="137" t="s">
        <v>3174</v>
      </c>
      <c r="AA801" s="132">
        <v>2</v>
      </c>
      <c r="AB801" s="136" t="s">
        <v>9153</v>
      </c>
      <c r="AC801" s="136">
        <v>11.9</v>
      </c>
      <c r="AD801" s="136">
        <f>11.9+1</f>
        <v>12.9</v>
      </c>
      <c r="AE801" s="136">
        <f>11.9-0.8</f>
        <v>11.1</v>
      </c>
      <c r="AF801" s="136"/>
      <c r="AG801" s="350"/>
      <c r="AH801" s="350"/>
      <c r="AI801" s="45" t="s">
        <v>23</v>
      </c>
      <c r="AJ801" s="103"/>
      <c r="AK801" s="173"/>
      <c r="AL801" s="350"/>
      <c r="AM801" s="350"/>
      <c r="AN801" s="30" t="s">
        <v>3191</v>
      </c>
      <c r="AO801" s="40" t="s">
        <v>3190</v>
      </c>
      <c r="AP801" s="137" t="s">
        <v>9152</v>
      </c>
      <c r="AQ801" s="137" t="s">
        <v>37</v>
      </c>
      <c r="AR801" s="139">
        <v>44414</v>
      </c>
      <c r="AS801" s="137" t="s">
        <v>37</v>
      </c>
      <c r="AT801" s="358"/>
      <c r="AU801" s="1110"/>
    </row>
    <row r="802" spans="1:47" s="135" customFormat="1" ht="77.25" x14ac:dyDescent="0.25">
      <c r="A802" s="808"/>
      <c r="B802" s="550"/>
      <c r="C802" s="161"/>
      <c r="D802" s="573"/>
      <c r="E802" s="573"/>
      <c r="F802" s="161"/>
      <c r="G802" s="162"/>
      <c r="H802" s="163"/>
      <c r="I802" s="423"/>
      <c r="J802" s="161">
        <v>65</v>
      </c>
      <c r="K802" s="434" t="s">
        <v>3143</v>
      </c>
      <c r="L802" s="919">
        <v>1616194.4055000001</v>
      </c>
      <c r="M802" s="919">
        <v>5386780.8887</v>
      </c>
      <c r="N802" s="163"/>
      <c r="O802" s="163" t="s">
        <v>41</v>
      </c>
      <c r="P802" s="163" t="s">
        <v>5</v>
      </c>
      <c r="Q802" s="437"/>
      <c r="R802" s="437"/>
      <c r="S802" s="437"/>
      <c r="T802" s="175" t="s">
        <v>3185</v>
      </c>
      <c r="U802" s="138" t="s">
        <v>10</v>
      </c>
      <c r="V802" s="136" t="s">
        <v>10</v>
      </c>
      <c r="W802" s="136" t="s">
        <v>10</v>
      </c>
      <c r="X802" s="132" t="s">
        <v>5</v>
      </c>
      <c r="Y802" s="132" t="s">
        <v>3168</v>
      </c>
      <c r="Z802" s="137" t="s">
        <v>58</v>
      </c>
      <c r="AA802" s="132">
        <v>1</v>
      </c>
      <c r="AB802" s="136" t="s">
        <v>3175</v>
      </c>
      <c r="AC802" s="136">
        <v>11.1</v>
      </c>
      <c r="AD802" s="136">
        <f>11.1+0.7</f>
        <v>11.799999999999999</v>
      </c>
      <c r="AE802" s="136">
        <f>11.1-0.7</f>
        <v>10.4</v>
      </c>
      <c r="AF802" s="136"/>
      <c r="AG802" s="350"/>
      <c r="AH802" s="350"/>
      <c r="AI802" s="180" t="s">
        <v>23</v>
      </c>
      <c r="AJ802" s="103"/>
      <c r="AK802" s="173"/>
      <c r="AL802" s="350"/>
      <c r="AM802" s="350"/>
      <c r="AN802" s="45" t="s">
        <v>3191</v>
      </c>
      <c r="AO802" s="45" t="s">
        <v>3190</v>
      </c>
      <c r="AP802" s="137" t="s">
        <v>9152</v>
      </c>
      <c r="AQ802" s="137" t="s">
        <v>37</v>
      </c>
      <c r="AR802" s="139">
        <v>44414</v>
      </c>
      <c r="AS802" s="137" t="s">
        <v>37</v>
      </c>
      <c r="AT802" s="358"/>
      <c r="AU802" s="1110"/>
    </row>
    <row r="803" spans="1:47" s="135" customFormat="1" ht="77.25" x14ac:dyDescent="0.25">
      <c r="A803" s="808"/>
      <c r="B803" s="550"/>
      <c r="C803" s="161"/>
      <c r="D803" s="573"/>
      <c r="E803" s="573"/>
      <c r="F803" s="161"/>
      <c r="G803" s="162"/>
      <c r="H803" s="163"/>
      <c r="I803" s="423"/>
      <c r="J803" s="161">
        <v>66</v>
      </c>
      <c r="K803" s="434" t="s">
        <v>3144</v>
      </c>
      <c r="L803" s="919">
        <v>1616048.7523000001</v>
      </c>
      <c r="M803" s="919">
        <v>5386705.6073000003</v>
      </c>
      <c r="N803" s="163"/>
      <c r="O803" s="163" t="s">
        <v>41</v>
      </c>
      <c r="P803" s="163" t="s">
        <v>5</v>
      </c>
      <c r="Q803" s="437"/>
      <c r="R803" s="437"/>
      <c r="S803" s="437"/>
      <c r="T803" s="175" t="s">
        <v>3186</v>
      </c>
      <c r="U803" s="138" t="s">
        <v>10</v>
      </c>
      <c r="V803" s="136" t="s">
        <v>10</v>
      </c>
      <c r="W803" s="136" t="s">
        <v>10</v>
      </c>
      <c r="X803" s="132" t="s">
        <v>5</v>
      </c>
      <c r="Y803" s="132" t="s">
        <v>3169</v>
      </c>
      <c r="Z803" s="137" t="s">
        <v>83</v>
      </c>
      <c r="AA803" s="132">
        <v>13</v>
      </c>
      <c r="AB803" s="136" t="s">
        <v>9154</v>
      </c>
      <c r="AC803" s="136">
        <v>10.1</v>
      </c>
      <c r="AD803" s="136">
        <f>10.1+0.8</f>
        <v>10.9</v>
      </c>
      <c r="AE803" s="136">
        <f>10.1-0.6</f>
        <v>9.5</v>
      </c>
      <c r="AF803" s="136"/>
      <c r="AG803" s="350"/>
      <c r="AH803" s="350"/>
      <c r="AI803" s="180" t="s">
        <v>23</v>
      </c>
      <c r="AJ803" s="103"/>
      <c r="AK803" s="173"/>
      <c r="AL803" s="350"/>
      <c r="AM803" s="350"/>
      <c r="AN803" s="45" t="s">
        <v>3191</v>
      </c>
      <c r="AO803" s="45" t="s">
        <v>3190</v>
      </c>
      <c r="AP803" s="137" t="s">
        <v>9152</v>
      </c>
      <c r="AQ803" s="137" t="s">
        <v>37</v>
      </c>
      <c r="AR803" s="139">
        <v>44414</v>
      </c>
      <c r="AS803" s="137" t="s">
        <v>37</v>
      </c>
      <c r="AT803" s="358"/>
      <c r="AU803" s="1110"/>
    </row>
    <row r="804" spans="1:47" s="135" customFormat="1" ht="77.25" x14ac:dyDescent="0.25">
      <c r="A804" s="808"/>
      <c r="B804" s="550"/>
      <c r="C804" s="161"/>
      <c r="D804" s="573"/>
      <c r="E804" s="573"/>
      <c r="F804" s="161"/>
      <c r="G804" s="162"/>
      <c r="H804" s="163"/>
      <c r="I804" s="423"/>
      <c r="J804" s="161">
        <v>67</v>
      </c>
      <c r="K804" s="434" t="s">
        <v>3145</v>
      </c>
      <c r="L804" s="919">
        <v>1615597.0639</v>
      </c>
      <c r="M804" s="919">
        <v>5386477.3081999999</v>
      </c>
      <c r="N804" s="163"/>
      <c r="O804" s="163" t="s">
        <v>41</v>
      </c>
      <c r="P804" s="163" t="s">
        <v>5</v>
      </c>
      <c r="Q804" s="437"/>
      <c r="R804" s="437"/>
      <c r="S804" s="437"/>
      <c r="T804" s="175" t="s">
        <v>3187</v>
      </c>
      <c r="U804" s="138" t="s">
        <v>10</v>
      </c>
      <c r="V804" s="136" t="s">
        <v>10</v>
      </c>
      <c r="W804" s="136" t="s">
        <v>10</v>
      </c>
      <c r="X804" s="132" t="s">
        <v>5</v>
      </c>
      <c r="Y804" s="132" t="s">
        <v>3170</v>
      </c>
      <c r="Z804" s="137" t="s">
        <v>83</v>
      </c>
      <c r="AA804" s="132">
        <v>5</v>
      </c>
      <c r="AB804" s="136" t="s">
        <v>9155</v>
      </c>
      <c r="AC804" s="136">
        <v>9.6</v>
      </c>
      <c r="AD804" s="136">
        <f>9.6+0.6</f>
        <v>10.199999999999999</v>
      </c>
      <c r="AE804" s="136">
        <f>9.6-0.5</f>
        <v>9.1</v>
      </c>
      <c r="AF804" s="136"/>
      <c r="AG804" s="350"/>
      <c r="AH804" s="350"/>
      <c r="AI804" s="180" t="s">
        <v>23</v>
      </c>
      <c r="AJ804" s="103"/>
      <c r="AK804" s="173"/>
      <c r="AL804" s="350"/>
      <c r="AM804" s="350"/>
      <c r="AN804" s="45" t="s">
        <v>3191</v>
      </c>
      <c r="AO804" s="45" t="s">
        <v>3190</v>
      </c>
      <c r="AP804" s="137" t="s">
        <v>9152</v>
      </c>
      <c r="AQ804" s="137" t="s">
        <v>37</v>
      </c>
      <c r="AR804" s="139">
        <v>44414</v>
      </c>
      <c r="AS804" s="137" t="s">
        <v>37</v>
      </c>
      <c r="AT804" s="358"/>
      <c r="AU804" s="1110"/>
    </row>
    <row r="805" spans="1:47" s="135" customFormat="1" ht="77.25" x14ac:dyDescent="0.25">
      <c r="A805" s="808"/>
      <c r="B805" s="550"/>
      <c r="C805" s="161"/>
      <c r="D805" s="573"/>
      <c r="E805" s="573"/>
      <c r="F805" s="161"/>
      <c r="G805" s="162"/>
      <c r="H805" s="163"/>
      <c r="I805" s="423"/>
      <c r="J805" s="161">
        <v>68</v>
      </c>
      <c r="K805" s="434" t="s">
        <v>3146</v>
      </c>
      <c r="L805" s="919">
        <v>1615483.3234999999</v>
      </c>
      <c r="M805" s="919">
        <v>5386420.8471999997</v>
      </c>
      <c r="N805" s="163"/>
      <c r="O805" s="163" t="s">
        <v>41</v>
      </c>
      <c r="P805" s="163" t="s">
        <v>5</v>
      </c>
      <c r="Q805" s="437"/>
      <c r="R805" s="437"/>
      <c r="S805" s="437"/>
      <c r="T805" s="175" t="s">
        <v>3188</v>
      </c>
      <c r="U805" s="138" t="s">
        <v>10</v>
      </c>
      <c r="V805" s="136" t="s">
        <v>10</v>
      </c>
      <c r="W805" s="136" t="s">
        <v>10</v>
      </c>
      <c r="X805" s="132" t="s">
        <v>5</v>
      </c>
      <c r="Y805" s="132" t="s">
        <v>3171</v>
      </c>
      <c r="Z805" s="137" t="s">
        <v>83</v>
      </c>
      <c r="AA805" s="132">
        <v>5</v>
      </c>
      <c r="AB805" s="136" t="s">
        <v>9156</v>
      </c>
      <c r="AC805" s="136">
        <v>9</v>
      </c>
      <c r="AD805" s="136">
        <v>9.6</v>
      </c>
      <c r="AE805" s="136">
        <v>8.5</v>
      </c>
      <c r="AF805" s="136"/>
      <c r="AG805" s="350"/>
      <c r="AH805" s="350"/>
      <c r="AI805" s="180" t="s">
        <v>23</v>
      </c>
      <c r="AJ805" s="103"/>
      <c r="AK805" s="173"/>
      <c r="AL805" s="350"/>
      <c r="AM805" s="350"/>
      <c r="AN805" s="45" t="s">
        <v>3191</v>
      </c>
      <c r="AO805" s="45" t="s">
        <v>3190</v>
      </c>
      <c r="AP805" s="137" t="s">
        <v>9152</v>
      </c>
      <c r="AQ805" s="137" t="s">
        <v>37</v>
      </c>
      <c r="AR805" s="139">
        <v>44414</v>
      </c>
      <c r="AS805" s="137" t="s">
        <v>37</v>
      </c>
      <c r="AT805" s="358"/>
      <c r="AU805" s="1110"/>
    </row>
    <row r="806" spans="1:47" s="135" customFormat="1" ht="77.25" x14ac:dyDescent="0.25">
      <c r="A806" s="808"/>
      <c r="B806" s="550"/>
      <c r="C806" s="161"/>
      <c r="D806" s="573"/>
      <c r="E806" s="573"/>
      <c r="F806" s="161"/>
      <c r="G806" s="162"/>
      <c r="H806" s="163"/>
      <c r="I806" s="423"/>
      <c r="J806" s="161">
        <v>69</v>
      </c>
      <c r="K806" s="434" t="s">
        <v>3147</v>
      </c>
      <c r="L806" s="919">
        <v>1615387.5852000001</v>
      </c>
      <c r="M806" s="919">
        <v>5386371.7505999999</v>
      </c>
      <c r="N806" s="163"/>
      <c r="O806" s="163" t="s">
        <v>41</v>
      </c>
      <c r="P806" s="163" t="s">
        <v>5</v>
      </c>
      <c r="Q806" s="437"/>
      <c r="R806" s="437"/>
      <c r="S806" s="437"/>
      <c r="T806" s="175" t="s">
        <v>3189</v>
      </c>
      <c r="U806" s="138" t="s">
        <v>10</v>
      </c>
      <c r="V806" s="136" t="s">
        <v>10</v>
      </c>
      <c r="W806" s="136" t="s">
        <v>10</v>
      </c>
      <c r="X806" s="132" t="s">
        <v>5</v>
      </c>
      <c r="Y806" s="132" t="s">
        <v>3172</v>
      </c>
      <c r="Z806" s="137" t="s">
        <v>3174</v>
      </c>
      <c r="AA806" s="132">
        <v>2</v>
      </c>
      <c r="AB806" s="136" t="s">
        <v>9157</v>
      </c>
      <c r="AC806" s="136">
        <v>8.6</v>
      </c>
      <c r="AD806" s="136">
        <v>9.1</v>
      </c>
      <c r="AE806" s="136">
        <v>8.1</v>
      </c>
      <c r="AF806" s="136"/>
      <c r="AG806" s="350"/>
      <c r="AH806" s="350"/>
      <c r="AI806" s="180" t="s">
        <v>23</v>
      </c>
      <c r="AJ806" s="103"/>
      <c r="AK806" s="173"/>
      <c r="AL806" s="350"/>
      <c r="AM806" s="350"/>
      <c r="AN806" s="45" t="s">
        <v>3191</v>
      </c>
      <c r="AO806" s="45" t="s">
        <v>3190</v>
      </c>
      <c r="AP806" s="137" t="s">
        <v>9152</v>
      </c>
      <c r="AQ806" s="137" t="s">
        <v>37</v>
      </c>
      <c r="AR806" s="139">
        <v>44414</v>
      </c>
      <c r="AS806" s="137" t="s">
        <v>37</v>
      </c>
      <c r="AT806" s="358"/>
      <c r="AU806" s="1110"/>
    </row>
    <row r="807" spans="1:47" s="135" customFormat="1" ht="77.25" x14ac:dyDescent="0.25">
      <c r="A807" s="808"/>
      <c r="B807" s="550"/>
      <c r="C807" s="161"/>
      <c r="D807" s="573"/>
      <c r="E807" s="573"/>
      <c r="F807" s="161"/>
      <c r="G807" s="162"/>
      <c r="H807" s="163"/>
      <c r="I807" s="423"/>
      <c r="J807" s="161">
        <v>70</v>
      </c>
      <c r="K807" s="434" t="s">
        <v>3149</v>
      </c>
      <c r="L807" s="919">
        <v>1621276.0645999999</v>
      </c>
      <c r="M807" s="919">
        <v>5389025.5268999999</v>
      </c>
      <c r="N807" s="163"/>
      <c r="O807" s="163" t="s">
        <v>41</v>
      </c>
      <c r="P807" s="163" t="s">
        <v>5</v>
      </c>
      <c r="Q807" s="437"/>
      <c r="R807" s="437"/>
      <c r="S807" s="437"/>
      <c r="T807" s="175" t="s">
        <v>9163</v>
      </c>
      <c r="U807" s="138" t="s">
        <v>10</v>
      </c>
      <c r="V807" s="136" t="s">
        <v>10</v>
      </c>
      <c r="W807" s="136" t="s">
        <v>10</v>
      </c>
      <c r="X807" s="132" t="s">
        <v>5</v>
      </c>
      <c r="Y807" s="132" t="s">
        <v>9158</v>
      </c>
      <c r="Z807" s="137" t="s">
        <v>24</v>
      </c>
      <c r="AA807" s="132">
        <v>1</v>
      </c>
      <c r="AB807" s="136" t="s">
        <v>9160</v>
      </c>
      <c r="AC807" s="136">
        <v>3.07</v>
      </c>
      <c r="AD807" s="136">
        <f>3.07-0.49</f>
        <v>2.58</v>
      </c>
      <c r="AE807" s="136">
        <f>3.07+0.61</f>
        <v>3.6799999999999997</v>
      </c>
      <c r="AF807" s="136"/>
      <c r="AG807" s="350"/>
      <c r="AH807" s="350"/>
      <c r="AI807" s="180" t="s">
        <v>23</v>
      </c>
      <c r="AJ807" s="103"/>
      <c r="AK807" s="173"/>
      <c r="AL807" s="350"/>
      <c r="AM807" s="350"/>
      <c r="AN807" s="45" t="s">
        <v>3191</v>
      </c>
      <c r="AO807" s="45" t="s">
        <v>3190</v>
      </c>
      <c r="AP807" s="137" t="s">
        <v>9152</v>
      </c>
      <c r="AQ807" s="137" t="s">
        <v>37</v>
      </c>
      <c r="AR807" s="139">
        <v>44414</v>
      </c>
      <c r="AS807" s="137" t="s">
        <v>37</v>
      </c>
      <c r="AT807" s="358"/>
      <c r="AU807" s="1110"/>
    </row>
    <row r="808" spans="1:47" s="135" customFormat="1" ht="77.25" x14ac:dyDescent="0.25">
      <c r="A808" s="808"/>
      <c r="B808" s="550"/>
      <c r="C808" s="161"/>
      <c r="D808" s="573"/>
      <c r="E808" s="573"/>
      <c r="F808" s="161"/>
      <c r="G808" s="162"/>
      <c r="H808" s="163"/>
      <c r="I808" s="423"/>
      <c r="J808" s="161">
        <v>71</v>
      </c>
      <c r="K808" s="434" t="s">
        <v>3150</v>
      </c>
      <c r="L808" s="919">
        <v>1621295.1146</v>
      </c>
      <c r="M808" s="919">
        <v>5389031.3476999998</v>
      </c>
      <c r="N808" s="163"/>
      <c r="O808" s="163" t="s">
        <v>41</v>
      </c>
      <c r="P808" s="163" t="s">
        <v>5</v>
      </c>
      <c r="Q808" s="437"/>
      <c r="R808" s="437"/>
      <c r="S808" s="437"/>
      <c r="T808" s="175" t="s">
        <v>9164</v>
      </c>
      <c r="U808" s="138" t="s">
        <v>10</v>
      </c>
      <c r="V808" s="136" t="s">
        <v>10</v>
      </c>
      <c r="W808" s="136" t="s">
        <v>10</v>
      </c>
      <c r="X808" s="132" t="s">
        <v>5</v>
      </c>
      <c r="Y808" s="132" t="s">
        <v>3733</v>
      </c>
      <c r="Z808" s="137" t="s">
        <v>58</v>
      </c>
      <c r="AA808" s="132">
        <v>1</v>
      </c>
      <c r="AB808" s="136" t="s">
        <v>9161</v>
      </c>
      <c r="AC808" s="136"/>
      <c r="AD808" s="136">
        <v>0</v>
      </c>
      <c r="AE808" s="136">
        <v>3.07</v>
      </c>
      <c r="AF808" s="136"/>
      <c r="AG808" s="350"/>
      <c r="AH808" s="350"/>
      <c r="AI808" s="180" t="s">
        <v>23</v>
      </c>
      <c r="AJ808" s="103"/>
      <c r="AK808" s="173"/>
      <c r="AL808" s="350"/>
      <c r="AM808" s="350"/>
      <c r="AN808" s="45" t="s">
        <v>3191</v>
      </c>
      <c r="AO808" s="45" t="s">
        <v>3190</v>
      </c>
      <c r="AP808" s="137" t="s">
        <v>9152</v>
      </c>
      <c r="AQ808" s="137" t="s">
        <v>37</v>
      </c>
      <c r="AR808" s="139">
        <v>44414</v>
      </c>
      <c r="AS808" s="137" t="s">
        <v>37</v>
      </c>
      <c r="AT808" s="358"/>
      <c r="AU808" s="1110"/>
    </row>
    <row r="809" spans="1:47" s="135" customFormat="1" ht="77.25" x14ac:dyDescent="0.25">
      <c r="A809" s="808"/>
      <c r="B809" s="550"/>
      <c r="C809" s="161"/>
      <c r="D809" s="573"/>
      <c r="E809" s="573"/>
      <c r="F809" s="161"/>
      <c r="G809" s="162"/>
      <c r="H809" s="163"/>
      <c r="I809" s="423"/>
      <c r="J809" s="161">
        <v>458</v>
      </c>
      <c r="K809" s="434" t="s">
        <v>3148</v>
      </c>
      <c r="L809" s="919">
        <v>1622061.3211000001</v>
      </c>
      <c r="M809" s="919">
        <v>5389356.3192999996</v>
      </c>
      <c r="N809" s="163"/>
      <c r="O809" s="163" t="s">
        <v>41</v>
      </c>
      <c r="P809" s="163" t="s">
        <v>5</v>
      </c>
      <c r="Q809" s="437"/>
      <c r="R809" s="437"/>
      <c r="S809" s="437"/>
      <c r="T809" s="175" t="s">
        <v>9165</v>
      </c>
      <c r="U809" s="138" t="s">
        <v>10</v>
      </c>
      <c r="V809" s="136" t="s">
        <v>10</v>
      </c>
      <c r="W809" s="136" t="s">
        <v>10</v>
      </c>
      <c r="X809" s="132" t="s">
        <v>5</v>
      </c>
      <c r="Y809" s="132" t="s">
        <v>9159</v>
      </c>
      <c r="Z809" s="137" t="s">
        <v>24</v>
      </c>
      <c r="AA809" s="132">
        <v>1</v>
      </c>
      <c r="AB809" s="136" t="s">
        <v>9162</v>
      </c>
      <c r="AC809" s="136">
        <v>4.07</v>
      </c>
      <c r="AD809" s="136">
        <f>4.07-0.9</f>
        <v>3.1700000000000004</v>
      </c>
      <c r="AE809" s="136">
        <f>4.07+1.9</f>
        <v>5.9700000000000006</v>
      </c>
      <c r="AF809" s="136"/>
      <c r="AG809" s="350"/>
      <c r="AH809" s="350"/>
      <c r="AI809" s="180" t="s">
        <v>23</v>
      </c>
      <c r="AJ809" s="103"/>
      <c r="AK809" s="173"/>
      <c r="AL809" s="350"/>
      <c r="AM809" s="350"/>
      <c r="AN809" s="45" t="s">
        <v>3191</v>
      </c>
      <c r="AO809" s="45" t="s">
        <v>3190</v>
      </c>
      <c r="AP809" s="137" t="s">
        <v>9152</v>
      </c>
      <c r="AQ809" s="137" t="s">
        <v>37</v>
      </c>
      <c r="AR809" s="139">
        <v>44414</v>
      </c>
      <c r="AS809" s="137" t="s">
        <v>37</v>
      </c>
      <c r="AT809" s="358"/>
      <c r="AU809" s="1110"/>
    </row>
    <row r="810" spans="1:47" s="135" customFormat="1" ht="39" x14ac:dyDescent="0.25">
      <c r="A810" s="808"/>
      <c r="B810" s="550"/>
      <c r="C810" s="161"/>
      <c r="D810" s="573"/>
      <c r="E810" s="573"/>
      <c r="F810" s="161"/>
      <c r="G810" s="162"/>
      <c r="H810" s="163"/>
      <c r="I810" s="423"/>
      <c r="J810" s="161">
        <v>459</v>
      </c>
      <c r="K810" s="434" t="s">
        <v>3151</v>
      </c>
      <c r="L810" s="919">
        <v>1616227.4702000001</v>
      </c>
      <c r="M810" s="919">
        <v>5386791.5237999996</v>
      </c>
      <c r="N810" s="163"/>
      <c r="O810" s="163" t="s">
        <v>3159</v>
      </c>
      <c r="P810" s="163" t="s">
        <v>5</v>
      </c>
      <c r="Q810" s="163"/>
      <c r="R810" s="163"/>
      <c r="S810" s="163"/>
      <c r="T810" s="163" t="s">
        <v>9226</v>
      </c>
      <c r="U810" s="138" t="s">
        <v>10</v>
      </c>
      <c r="V810" s="136" t="s">
        <v>10</v>
      </c>
      <c r="W810" s="136" t="s">
        <v>10</v>
      </c>
      <c r="X810" s="132" t="s">
        <v>5</v>
      </c>
      <c r="Y810" s="132"/>
      <c r="Z810" s="137" t="s">
        <v>3178</v>
      </c>
      <c r="AA810" s="132">
        <v>1</v>
      </c>
      <c r="AB810" s="132" t="s">
        <v>9166</v>
      </c>
      <c r="AC810" s="136">
        <v>11.87</v>
      </c>
      <c r="AD810" s="136">
        <f>11.87+0.96</f>
        <v>12.829999999999998</v>
      </c>
      <c r="AE810" s="136">
        <f>11.87-0.75</f>
        <v>11.12</v>
      </c>
      <c r="AF810" s="136">
        <v>11.1</v>
      </c>
      <c r="AG810" s="136">
        <f>11.1+0.7</f>
        <v>11.799999999999999</v>
      </c>
      <c r="AH810" s="136">
        <f>11.1-0.7</f>
        <v>10.4</v>
      </c>
      <c r="AI810" s="180" t="s">
        <v>23</v>
      </c>
      <c r="AJ810" s="103"/>
      <c r="AK810" s="173"/>
      <c r="AL810" s="350"/>
      <c r="AM810" s="350"/>
      <c r="AN810" s="45" t="s">
        <v>3192</v>
      </c>
      <c r="AO810" s="45" t="s">
        <v>3190</v>
      </c>
      <c r="AP810" s="137" t="s">
        <v>9152</v>
      </c>
      <c r="AQ810" s="137" t="s">
        <v>37</v>
      </c>
      <c r="AR810" s="139">
        <v>44414</v>
      </c>
      <c r="AS810" s="137" t="s">
        <v>37</v>
      </c>
      <c r="AT810" s="358"/>
      <c r="AU810" s="1110"/>
    </row>
    <row r="811" spans="1:47" s="135" customFormat="1" ht="39" x14ac:dyDescent="0.25">
      <c r="A811" s="808"/>
      <c r="B811" s="550"/>
      <c r="C811" s="161"/>
      <c r="D811" s="573"/>
      <c r="E811" s="573"/>
      <c r="F811" s="161"/>
      <c r="G811" s="162"/>
      <c r="H811" s="163"/>
      <c r="I811" s="423"/>
      <c r="J811" s="161">
        <v>460</v>
      </c>
      <c r="K811" s="434" t="s">
        <v>3152</v>
      </c>
      <c r="L811" s="919">
        <v>1616129.9479</v>
      </c>
      <c r="M811" s="919">
        <v>5386751.2622999996</v>
      </c>
      <c r="N811" s="163"/>
      <c r="O811" s="163" t="s">
        <v>3160</v>
      </c>
      <c r="P811" s="163" t="s">
        <v>5</v>
      </c>
      <c r="Q811" s="163"/>
      <c r="R811" s="163"/>
      <c r="S811" s="163"/>
      <c r="T811" s="163" t="s">
        <v>9227</v>
      </c>
      <c r="U811" s="138" t="s">
        <v>10</v>
      </c>
      <c r="V811" s="136" t="s">
        <v>10</v>
      </c>
      <c r="W811" s="136" t="s">
        <v>10</v>
      </c>
      <c r="X811" s="132" t="s">
        <v>5</v>
      </c>
      <c r="Y811" s="132"/>
      <c r="Z811" s="137" t="s">
        <v>3179</v>
      </c>
      <c r="AA811" s="132">
        <v>1</v>
      </c>
      <c r="AB811" s="132" t="s">
        <v>9167</v>
      </c>
      <c r="AC811" s="136">
        <v>11.1</v>
      </c>
      <c r="AD811" s="136">
        <f>11.1+0.7</f>
        <v>11.799999999999999</v>
      </c>
      <c r="AE811" s="136">
        <f>11.1-0.7</f>
        <v>10.4</v>
      </c>
      <c r="AF811" s="136">
        <v>10.1</v>
      </c>
      <c r="AG811" s="136">
        <f>10.1+0.8</f>
        <v>10.9</v>
      </c>
      <c r="AH811" s="136">
        <f>10.1-0.6</f>
        <v>9.5</v>
      </c>
      <c r="AI811" s="180" t="s">
        <v>23</v>
      </c>
      <c r="AJ811" s="103"/>
      <c r="AK811" s="173"/>
      <c r="AL811" s="350"/>
      <c r="AM811" s="350"/>
      <c r="AN811" s="45" t="s">
        <v>3192</v>
      </c>
      <c r="AO811" s="45" t="s">
        <v>3190</v>
      </c>
      <c r="AP811" s="137" t="s">
        <v>9152</v>
      </c>
      <c r="AQ811" s="137" t="s">
        <v>37</v>
      </c>
      <c r="AR811" s="139">
        <v>44414</v>
      </c>
      <c r="AS811" s="137" t="s">
        <v>37</v>
      </c>
      <c r="AT811" s="358"/>
      <c r="AU811" s="1110"/>
    </row>
    <row r="812" spans="1:47" s="135" customFormat="1" ht="51.75" x14ac:dyDescent="0.25">
      <c r="A812" s="808"/>
      <c r="B812" s="550"/>
      <c r="C812" s="161"/>
      <c r="D812" s="573"/>
      <c r="E812" s="573"/>
      <c r="F812" s="161"/>
      <c r="G812" s="162"/>
      <c r="H812" s="163"/>
      <c r="I812" s="423"/>
      <c r="J812" s="161">
        <v>461</v>
      </c>
      <c r="K812" s="434" t="s">
        <v>3153</v>
      </c>
      <c r="L812" s="919">
        <v>1615834.6971</v>
      </c>
      <c r="M812" s="919">
        <v>5386594.6898999996</v>
      </c>
      <c r="N812" s="163"/>
      <c r="O812" s="163" t="s">
        <v>3161</v>
      </c>
      <c r="P812" s="163" t="s">
        <v>5</v>
      </c>
      <c r="Q812" s="163"/>
      <c r="R812" s="163"/>
      <c r="S812" s="163"/>
      <c r="T812" s="163" t="s">
        <v>9228</v>
      </c>
      <c r="U812" s="138" t="s">
        <v>10</v>
      </c>
      <c r="V812" s="136" t="s">
        <v>10</v>
      </c>
      <c r="W812" s="136" t="s">
        <v>10</v>
      </c>
      <c r="X812" s="132" t="s">
        <v>5</v>
      </c>
      <c r="Y812" s="132"/>
      <c r="Z812" s="137" t="s">
        <v>3180</v>
      </c>
      <c r="AA812" s="132">
        <v>1</v>
      </c>
      <c r="AB812" s="132" t="s">
        <v>9168</v>
      </c>
      <c r="AC812" s="136">
        <v>10.1</v>
      </c>
      <c r="AD812" s="136">
        <f>10.1+0.8</f>
        <v>10.9</v>
      </c>
      <c r="AE812" s="136">
        <f>10.1-0.6</f>
        <v>9.5</v>
      </c>
      <c r="AF812" s="136">
        <v>9.6</v>
      </c>
      <c r="AG812" s="136">
        <f>9.6+0.6</f>
        <v>10.199999999999999</v>
      </c>
      <c r="AH812" s="136">
        <f>9.6-0.5</f>
        <v>9.1</v>
      </c>
      <c r="AI812" s="180" t="s">
        <v>23</v>
      </c>
      <c r="AJ812" s="103"/>
      <c r="AK812" s="173"/>
      <c r="AL812" s="350"/>
      <c r="AM812" s="350"/>
      <c r="AN812" s="45" t="s">
        <v>3192</v>
      </c>
      <c r="AO812" s="45" t="s">
        <v>3190</v>
      </c>
      <c r="AP812" s="137" t="s">
        <v>9152</v>
      </c>
      <c r="AQ812" s="137" t="s">
        <v>37</v>
      </c>
      <c r="AR812" s="139">
        <v>44414</v>
      </c>
      <c r="AS812" s="137" t="s">
        <v>37</v>
      </c>
      <c r="AT812" s="358"/>
      <c r="AU812" s="1110"/>
    </row>
    <row r="813" spans="1:47" s="135" customFormat="1" ht="51.75" x14ac:dyDescent="0.25">
      <c r="A813" s="808"/>
      <c r="B813" s="550"/>
      <c r="C813" s="161"/>
      <c r="D813" s="573"/>
      <c r="E813" s="573"/>
      <c r="F813" s="161"/>
      <c r="G813" s="162"/>
      <c r="H813" s="163"/>
      <c r="I813" s="423"/>
      <c r="J813" s="161">
        <v>462</v>
      </c>
      <c r="K813" s="434" t="s">
        <v>3154</v>
      </c>
      <c r="L813" s="919">
        <v>1615548.3932</v>
      </c>
      <c r="M813" s="919">
        <v>5386452.4325999999</v>
      </c>
      <c r="N813" s="163"/>
      <c r="O813" s="163" t="s">
        <v>3162</v>
      </c>
      <c r="P813" s="163" t="s">
        <v>5</v>
      </c>
      <c r="Q813" s="163"/>
      <c r="R813" s="163"/>
      <c r="S813" s="163"/>
      <c r="T813" s="163" t="s">
        <v>9229</v>
      </c>
      <c r="U813" s="138" t="s">
        <v>10</v>
      </c>
      <c r="V813" s="136" t="s">
        <v>10</v>
      </c>
      <c r="W813" s="136" t="s">
        <v>10</v>
      </c>
      <c r="X813" s="132" t="s">
        <v>5</v>
      </c>
      <c r="Y813" s="132"/>
      <c r="Z813" s="137" t="s">
        <v>3180</v>
      </c>
      <c r="AA813" s="132">
        <v>1</v>
      </c>
      <c r="AB813" s="132" t="s">
        <v>9169</v>
      </c>
      <c r="AC813" s="136">
        <v>9.6</v>
      </c>
      <c r="AD813" s="136">
        <f>9.6+0.6</f>
        <v>10.199999999999999</v>
      </c>
      <c r="AE813" s="136">
        <f>9.6-0.5</f>
        <v>9.1</v>
      </c>
      <c r="AF813" s="136">
        <v>9</v>
      </c>
      <c r="AG813" s="136">
        <v>9.6</v>
      </c>
      <c r="AH813" s="136">
        <v>8.5</v>
      </c>
      <c r="AI813" s="180" t="s">
        <v>23</v>
      </c>
      <c r="AJ813" s="103"/>
      <c r="AK813" s="173"/>
      <c r="AL813" s="350"/>
      <c r="AM813" s="350"/>
      <c r="AN813" s="45" t="s">
        <v>3192</v>
      </c>
      <c r="AO813" s="45" t="s">
        <v>3190</v>
      </c>
      <c r="AP813" s="137" t="s">
        <v>9152</v>
      </c>
      <c r="AQ813" s="137" t="s">
        <v>37</v>
      </c>
      <c r="AR813" s="139">
        <v>44414</v>
      </c>
      <c r="AS813" s="137" t="s">
        <v>37</v>
      </c>
      <c r="AT813" s="358"/>
      <c r="AU813" s="1110"/>
    </row>
    <row r="814" spans="1:47" s="135" customFormat="1" ht="51.75" x14ac:dyDescent="0.25">
      <c r="A814" s="808"/>
      <c r="B814" s="550"/>
      <c r="C814" s="161"/>
      <c r="D814" s="573"/>
      <c r="E814" s="573"/>
      <c r="F814" s="161"/>
      <c r="G814" s="162"/>
      <c r="H814" s="163"/>
      <c r="I814" s="423"/>
      <c r="J814" s="161">
        <v>463</v>
      </c>
      <c r="K814" s="434" t="s">
        <v>3155</v>
      </c>
      <c r="L814" s="919">
        <v>1615443.7132999999</v>
      </c>
      <c r="M814" s="919">
        <v>5386403.2241000002</v>
      </c>
      <c r="N814" s="163"/>
      <c r="O814" s="163" t="s">
        <v>3163</v>
      </c>
      <c r="P814" s="163" t="s">
        <v>5</v>
      </c>
      <c r="Q814" s="163"/>
      <c r="R814" s="163"/>
      <c r="S814" s="163"/>
      <c r="T814" s="163" t="s">
        <v>9230</v>
      </c>
      <c r="U814" s="138" t="s">
        <v>10</v>
      </c>
      <c r="V814" s="136" t="s">
        <v>10</v>
      </c>
      <c r="W814" s="136" t="s">
        <v>10</v>
      </c>
      <c r="X814" s="132" t="s">
        <v>5</v>
      </c>
      <c r="Y814" s="132"/>
      <c r="Z814" s="137" t="s">
        <v>3181</v>
      </c>
      <c r="AA814" s="132">
        <v>1</v>
      </c>
      <c r="AB814" s="132" t="s">
        <v>9170</v>
      </c>
      <c r="AC814" s="136">
        <v>9</v>
      </c>
      <c r="AD814" s="136">
        <v>9.6</v>
      </c>
      <c r="AE814" s="136">
        <v>8.5</v>
      </c>
      <c r="AF814" s="136">
        <v>8.6</v>
      </c>
      <c r="AG814" s="136">
        <v>9.1</v>
      </c>
      <c r="AH814" s="136">
        <v>8.1</v>
      </c>
      <c r="AI814" s="180" t="s">
        <v>23</v>
      </c>
      <c r="AJ814" s="103"/>
      <c r="AK814" s="173"/>
      <c r="AL814" s="350"/>
      <c r="AM814" s="350"/>
      <c r="AN814" s="45" t="s">
        <v>3192</v>
      </c>
      <c r="AO814" s="45" t="s">
        <v>3190</v>
      </c>
      <c r="AP814" s="137" t="s">
        <v>9152</v>
      </c>
      <c r="AQ814" s="137" t="s">
        <v>37</v>
      </c>
      <c r="AR814" s="139">
        <v>44414</v>
      </c>
      <c r="AS814" s="137" t="s">
        <v>37</v>
      </c>
      <c r="AT814" s="358"/>
      <c r="AU814" s="1110"/>
    </row>
    <row r="815" spans="1:47" s="135" customFormat="1" ht="39" x14ac:dyDescent="0.25">
      <c r="A815" s="808"/>
      <c r="B815" s="550"/>
      <c r="C815" s="161"/>
      <c r="D815" s="573"/>
      <c r="E815" s="573"/>
      <c r="F815" s="161"/>
      <c r="G815" s="162"/>
      <c r="H815" s="163"/>
      <c r="I815" s="423"/>
      <c r="J815" s="161">
        <v>464</v>
      </c>
      <c r="K815" s="434" t="s">
        <v>3156</v>
      </c>
      <c r="L815" s="919">
        <v>1615349.7699</v>
      </c>
      <c r="M815" s="919">
        <v>5386353.1210000003</v>
      </c>
      <c r="N815" s="163"/>
      <c r="O815" s="163">
        <v>0</v>
      </c>
      <c r="P815" s="163" t="s">
        <v>5</v>
      </c>
      <c r="Q815" s="163"/>
      <c r="R815" s="163"/>
      <c r="S815" s="163"/>
      <c r="T815" s="163">
        <v>0</v>
      </c>
      <c r="U815" s="138" t="s">
        <v>10</v>
      </c>
      <c r="V815" s="136" t="s">
        <v>10</v>
      </c>
      <c r="W815" s="136" t="s">
        <v>10</v>
      </c>
      <c r="X815" s="132" t="s">
        <v>5</v>
      </c>
      <c r="Y815" s="132" t="s">
        <v>1254</v>
      </c>
      <c r="Z815" s="137" t="s">
        <v>3182</v>
      </c>
      <c r="AA815" s="132">
        <v>1</v>
      </c>
      <c r="AB815" s="132" t="s">
        <v>9171</v>
      </c>
      <c r="AC815" s="136">
        <v>8.6</v>
      </c>
      <c r="AD815" s="136">
        <v>9.1</v>
      </c>
      <c r="AE815" s="136">
        <v>8.1</v>
      </c>
      <c r="AF815" s="136">
        <v>4.0999999999999996</v>
      </c>
      <c r="AG815" s="136">
        <f>4.1+1.9</f>
        <v>6</v>
      </c>
      <c r="AH815" s="136">
        <f>4.1-0.9</f>
        <v>3.1999999999999997</v>
      </c>
      <c r="AI815" s="180" t="s">
        <v>23</v>
      </c>
      <c r="AJ815" s="103"/>
      <c r="AK815" s="173"/>
      <c r="AL815" s="350"/>
      <c r="AM815" s="350"/>
      <c r="AN815" s="45" t="s">
        <v>3192</v>
      </c>
      <c r="AO815" s="45" t="s">
        <v>3190</v>
      </c>
      <c r="AP815" s="137" t="s">
        <v>9152</v>
      </c>
      <c r="AQ815" s="137" t="s">
        <v>37</v>
      </c>
      <c r="AR815" s="139">
        <v>44414</v>
      </c>
      <c r="AS815" s="137" t="s">
        <v>37</v>
      </c>
      <c r="AT815" s="358"/>
      <c r="AU815" s="1110"/>
    </row>
    <row r="816" spans="1:47" s="135" customFormat="1" ht="39" x14ac:dyDescent="0.25">
      <c r="A816" s="808"/>
      <c r="B816" s="550"/>
      <c r="C816" s="161"/>
      <c r="D816" s="573"/>
      <c r="E816" s="573"/>
      <c r="F816" s="161"/>
      <c r="G816" s="162"/>
      <c r="H816" s="163"/>
      <c r="I816" s="423"/>
      <c r="J816" s="161">
        <v>465</v>
      </c>
      <c r="K816" s="434" t="s">
        <v>3157</v>
      </c>
      <c r="L816" s="919">
        <v>1621264.3563999999</v>
      </c>
      <c r="M816" s="919">
        <v>5389019.9132000003</v>
      </c>
      <c r="N816" s="163"/>
      <c r="O816" s="163" t="s">
        <v>3165</v>
      </c>
      <c r="P816" s="163" t="s">
        <v>5</v>
      </c>
      <c r="Q816" s="163"/>
      <c r="R816" s="163"/>
      <c r="S816" s="163"/>
      <c r="T816" s="163" t="s">
        <v>9231</v>
      </c>
      <c r="U816" s="138" t="s">
        <v>10</v>
      </c>
      <c r="V816" s="136" t="s">
        <v>10</v>
      </c>
      <c r="W816" s="136" t="s">
        <v>10</v>
      </c>
      <c r="X816" s="132" t="s">
        <v>5</v>
      </c>
      <c r="Y816" s="132"/>
      <c r="Z816" s="137" t="s">
        <v>3183</v>
      </c>
      <c r="AA816" s="132">
        <v>1</v>
      </c>
      <c r="AB816" s="132" t="s">
        <v>3176</v>
      </c>
      <c r="AC816" s="136">
        <v>4.0999999999999996</v>
      </c>
      <c r="AD816" s="136">
        <f>4.1+1.9</f>
        <v>6</v>
      </c>
      <c r="AE816" s="136">
        <f>4.1-0.9</f>
        <v>3.1999999999999997</v>
      </c>
      <c r="AF816" s="136"/>
      <c r="AG816" s="136">
        <v>2.7</v>
      </c>
      <c r="AH816" s="136">
        <v>3.2</v>
      </c>
      <c r="AI816" s="180" t="s">
        <v>23</v>
      </c>
      <c r="AJ816" s="103"/>
      <c r="AK816" s="173"/>
      <c r="AL816" s="350"/>
      <c r="AM816" s="350"/>
      <c r="AN816" s="45" t="s">
        <v>3192</v>
      </c>
      <c r="AO816" s="45" t="s">
        <v>3190</v>
      </c>
      <c r="AP816" s="137" t="s">
        <v>9152</v>
      </c>
      <c r="AQ816" s="137" t="s">
        <v>37</v>
      </c>
      <c r="AR816" s="139">
        <v>44414</v>
      </c>
      <c r="AS816" s="137" t="s">
        <v>37</v>
      </c>
      <c r="AT816" s="358"/>
      <c r="AU816" s="1110"/>
    </row>
    <row r="817" spans="1:47" s="135" customFormat="1" ht="39.75" thickBot="1" x14ac:dyDescent="0.3">
      <c r="A817" s="808"/>
      <c r="B817" s="550"/>
      <c r="C817" s="161"/>
      <c r="D817" s="573"/>
      <c r="E817" s="573"/>
      <c r="F817" s="161"/>
      <c r="G817" s="162"/>
      <c r="H817" s="163"/>
      <c r="I817" s="423"/>
      <c r="J817" s="161">
        <v>466</v>
      </c>
      <c r="K817" s="434" t="s">
        <v>3158</v>
      </c>
      <c r="L817" s="919">
        <v>1621284.4648</v>
      </c>
      <c r="M817" s="919">
        <v>5389026.2631999999</v>
      </c>
      <c r="N817" s="163"/>
      <c r="O817" s="163" t="s">
        <v>3166</v>
      </c>
      <c r="P817" s="163" t="s">
        <v>5</v>
      </c>
      <c r="Q817" s="163"/>
      <c r="R817" s="163"/>
      <c r="S817" s="163"/>
      <c r="T817" s="163" t="s">
        <v>9232</v>
      </c>
      <c r="U817" s="138" t="s">
        <v>10</v>
      </c>
      <c r="V817" s="136" t="s">
        <v>10</v>
      </c>
      <c r="W817" s="136" t="s">
        <v>10</v>
      </c>
      <c r="X817" s="132" t="s">
        <v>5</v>
      </c>
      <c r="Y817" s="132"/>
      <c r="Z817" s="137" t="s">
        <v>3184</v>
      </c>
      <c r="AA817" s="132">
        <v>1</v>
      </c>
      <c r="AB817" s="132" t="s">
        <v>3177</v>
      </c>
      <c r="AC817" s="136"/>
      <c r="AD817" s="136">
        <v>2.7</v>
      </c>
      <c r="AE817" s="136">
        <v>3.2</v>
      </c>
      <c r="AF817" s="136"/>
      <c r="AG817" s="136">
        <v>1.9</v>
      </c>
      <c r="AH817" s="136">
        <v>2.1</v>
      </c>
      <c r="AI817" s="180" t="s">
        <v>23</v>
      </c>
      <c r="AJ817" s="103"/>
      <c r="AK817" s="173"/>
      <c r="AL817" s="350"/>
      <c r="AM817" s="350"/>
      <c r="AN817" s="45" t="s">
        <v>3192</v>
      </c>
      <c r="AO817" s="45" t="s">
        <v>3190</v>
      </c>
      <c r="AP817" s="137" t="s">
        <v>9152</v>
      </c>
      <c r="AQ817" s="137" t="s">
        <v>37</v>
      </c>
      <c r="AR817" s="139">
        <v>44414</v>
      </c>
      <c r="AS817" s="137" t="s">
        <v>37</v>
      </c>
      <c r="AT817" s="358"/>
      <c r="AU817" s="1110"/>
    </row>
    <row r="818" spans="1:47" s="135" customFormat="1" ht="26.25" x14ac:dyDescent="0.25">
      <c r="A818" s="808"/>
      <c r="B818" s="550"/>
      <c r="C818" s="161"/>
      <c r="D818" s="573"/>
      <c r="E818" s="573"/>
      <c r="F818" s="161"/>
      <c r="G818" s="162"/>
      <c r="H818" s="163"/>
      <c r="I818" s="423"/>
      <c r="J818" s="157">
        <v>60</v>
      </c>
      <c r="K818" s="433" t="s">
        <v>390</v>
      </c>
      <c r="L818" s="924">
        <v>1662839.4927999999</v>
      </c>
      <c r="M818" s="924">
        <v>5404251.4108999996</v>
      </c>
      <c r="N818" s="159"/>
      <c r="O818" s="159" t="s">
        <v>391</v>
      </c>
      <c r="P818" s="159" t="s">
        <v>61</v>
      </c>
      <c r="Q818" s="159"/>
      <c r="R818" s="159"/>
      <c r="S818" s="159"/>
      <c r="T818" s="480" t="s">
        <v>4693</v>
      </c>
      <c r="U818" s="169" t="s">
        <v>16</v>
      </c>
      <c r="V818" s="151" t="s">
        <v>85</v>
      </c>
      <c r="W818" s="151" t="s">
        <v>16</v>
      </c>
      <c r="X818" s="153" t="s">
        <v>61</v>
      </c>
      <c r="Y818" s="153" t="s">
        <v>392</v>
      </c>
      <c r="Z818" s="152" t="s">
        <v>698</v>
      </c>
      <c r="AA818" s="153" t="s">
        <v>419</v>
      </c>
      <c r="AB818" s="151" t="s">
        <v>393</v>
      </c>
      <c r="AC818" s="151">
        <v>9.4</v>
      </c>
      <c r="AD818" s="151">
        <v>7.84</v>
      </c>
      <c r="AE818" s="151">
        <v>10.98</v>
      </c>
      <c r="AF818" s="151"/>
      <c r="AG818" s="442"/>
      <c r="AH818" s="442"/>
      <c r="AI818" s="203" t="s">
        <v>376</v>
      </c>
      <c r="AJ818" s="130" t="s">
        <v>66</v>
      </c>
      <c r="AK818" s="202"/>
      <c r="AL818" s="442"/>
      <c r="AM818" s="442"/>
      <c r="AN818" s="30" t="s">
        <v>384</v>
      </c>
      <c r="AO818" s="30" t="s">
        <v>660</v>
      </c>
      <c r="AP818" s="152" t="s">
        <v>665</v>
      </c>
      <c r="AQ818" s="152" t="s">
        <v>37</v>
      </c>
      <c r="AR818" s="170">
        <v>44036</v>
      </c>
      <c r="AS818" s="152" t="s">
        <v>37</v>
      </c>
      <c r="AT818" s="361"/>
      <c r="AU818" s="1112"/>
    </row>
    <row r="819" spans="1:47" s="135" customFormat="1" ht="26.25" x14ac:dyDescent="0.25">
      <c r="A819" s="808"/>
      <c r="B819" s="550"/>
      <c r="C819" s="161"/>
      <c r="D819" s="573"/>
      <c r="E819" s="573"/>
      <c r="F819" s="161"/>
      <c r="G819" s="162"/>
      <c r="H819" s="163"/>
      <c r="I819" s="423"/>
      <c r="J819" s="161">
        <v>61</v>
      </c>
      <c r="K819" s="434" t="s">
        <v>394</v>
      </c>
      <c r="L819" s="919">
        <v>1662078.4568</v>
      </c>
      <c r="M819" s="919">
        <v>5404019.7955</v>
      </c>
      <c r="N819" s="163"/>
      <c r="O819" s="163" t="s">
        <v>395</v>
      </c>
      <c r="P819" s="163" t="s">
        <v>61</v>
      </c>
      <c r="Q819" s="163"/>
      <c r="R819" s="163"/>
      <c r="S819" s="163"/>
      <c r="T819" s="175" t="s">
        <v>4694</v>
      </c>
      <c r="U819" s="138" t="s">
        <v>16</v>
      </c>
      <c r="V819" s="136" t="s">
        <v>85</v>
      </c>
      <c r="W819" s="136" t="s">
        <v>16</v>
      </c>
      <c r="X819" s="132" t="s">
        <v>61</v>
      </c>
      <c r="Y819" s="132" t="s">
        <v>396</v>
      </c>
      <c r="Z819" s="137" t="s">
        <v>402</v>
      </c>
      <c r="AA819" s="132" t="s">
        <v>419</v>
      </c>
      <c r="AB819" s="136" t="s">
        <v>397</v>
      </c>
      <c r="AC819" s="136">
        <v>6.29</v>
      </c>
      <c r="AD819" s="136">
        <v>5.36</v>
      </c>
      <c r="AE819" s="136">
        <v>7.22</v>
      </c>
      <c r="AF819" s="136"/>
      <c r="AG819" s="350"/>
      <c r="AH819" s="350"/>
      <c r="AI819" s="180" t="s">
        <v>376</v>
      </c>
      <c r="AJ819" s="103" t="s">
        <v>66</v>
      </c>
      <c r="AK819" s="173"/>
      <c r="AL819" s="350"/>
      <c r="AM819" s="350"/>
      <c r="AN819" s="45" t="s">
        <v>384</v>
      </c>
      <c r="AO819" s="45" t="s">
        <v>660</v>
      </c>
      <c r="AP819" s="137" t="s">
        <v>665</v>
      </c>
      <c r="AQ819" s="137" t="s">
        <v>37</v>
      </c>
      <c r="AR819" s="139">
        <v>44036</v>
      </c>
      <c r="AS819" s="137" t="s">
        <v>37</v>
      </c>
      <c r="AT819" s="358"/>
      <c r="AU819" s="1110"/>
    </row>
    <row r="820" spans="1:47" s="135" customFormat="1" ht="26.25" x14ac:dyDescent="0.25">
      <c r="A820" s="808"/>
      <c r="B820" s="550"/>
      <c r="C820" s="161"/>
      <c r="D820" s="573"/>
      <c r="E820" s="573"/>
      <c r="F820" s="161"/>
      <c r="G820" s="162"/>
      <c r="H820" s="163"/>
      <c r="I820" s="423"/>
      <c r="J820" s="161">
        <v>62</v>
      </c>
      <c r="K820" s="434" t="s">
        <v>398</v>
      </c>
      <c r="L820" s="919">
        <v>1662575.4125000001</v>
      </c>
      <c r="M820" s="919">
        <v>5404172.3044999996</v>
      </c>
      <c r="N820" s="163"/>
      <c r="O820" s="163" t="s">
        <v>696</v>
      </c>
      <c r="P820" s="163" t="s">
        <v>5</v>
      </c>
      <c r="Q820" s="163"/>
      <c r="R820" s="163"/>
      <c r="S820" s="163"/>
      <c r="T820" s="175" t="s">
        <v>608</v>
      </c>
      <c r="U820" s="138" t="s">
        <v>16</v>
      </c>
      <c r="V820" s="136" t="s">
        <v>85</v>
      </c>
      <c r="W820" s="136" t="s">
        <v>16</v>
      </c>
      <c r="X820" s="132" t="s">
        <v>5</v>
      </c>
      <c r="Y820" s="132" t="s">
        <v>400</v>
      </c>
      <c r="Z820" s="137" t="s">
        <v>401</v>
      </c>
      <c r="AA820" s="132" t="s">
        <v>419</v>
      </c>
      <c r="AB820" s="136" t="s">
        <v>397</v>
      </c>
      <c r="AC820" s="136">
        <v>6.29</v>
      </c>
      <c r="AD820" s="136">
        <v>5.36</v>
      </c>
      <c r="AE820" s="136">
        <v>7.22</v>
      </c>
      <c r="AF820" s="136"/>
      <c r="AG820" s="350"/>
      <c r="AH820" s="350"/>
      <c r="AI820" s="180" t="s">
        <v>376</v>
      </c>
      <c r="AJ820" s="103" t="s">
        <v>66</v>
      </c>
      <c r="AK820" s="173"/>
      <c r="AL820" s="350"/>
      <c r="AM820" s="350"/>
      <c r="AN820" s="45" t="s">
        <v>384</v>
      </c>
      <c r="AO820" s="45" t="s">
        <v>660</v>
      </c>
      <c r="AP820" s="137" t="s">
        <v>665</v>
      </c>
      <c r="AQ820" s="137" t="s">
        <v>37</v>
      </c>
      <c r="AR820" s="139">
        <v>44036</v>
      </c>
      <c r="AS820" s="137" t="s">
        <v>37</v>
      </c>
      <c r="AT820" s="358"/>
      <c r="AU820" s="1110"/>
    </row>
    <row r="821" spans="1:47" s="135" customFormat="1" ht="27" thickBot="1" x14ac:dyDescent="0.3">
      <c r="A821" s="808"/>
      <c r="B821" s="550"/>
      <c r="C821" s="161"/>
      <c r="D821" s="573"/>
      <c r="E821" s="573"/>
      <c r="F821" s="161"/>
      <c r="G821" s="162"/>
      <c r="H821" s="163"/>
      <c r="I821" s="423"/>
      <c r="J821" s="165">
        <v>63</v>
      </c>
      <c r="K821" s="435" t="s">
        <v>399</v>
      </c>
      <c r="L821" s="925">
        <v>1661555.3851000001</v>
      </c>
      <c r="M821" s="925">
        <v>5403854.3624</v>
      </c>
      <c r="N821" s="167"/>
      <c r="O821" s="167" t="s">
        <v>697</v>
      </c>
      <c r="P821" s="167" t="s">
        <v>61</v>
      </c>
      <c r="Q821" s="167"/>
      <c r="R821" s="167"/>
      <c r="S821" s="167"/>
      <c r="T821" s="200" t="s">
        <v>4695</v>
      </c>
      <c r="U821" s="171" t="s">
        <v>16</v>
      </c>
      <c r="V821" s="154" t="s">
        <v>85</v>
      </c>
      <c r="W821" s="154" t="s">
        <v>16</v>
      </c>
      <c r="X821" s="156" t="s">
        <v>61</v>
      </c>
      <c r="Y821" s="156" t="s">
        <v>403</v>
      </c>
      <c r="Z821" s="155" t="s">
        <v>402</v>
      </c>
      <c r="AA821" s="156" t="s">
        <v>419</v>
      </c>
      <c r="AB821" s="154" t="s">
        <v>404</v>
      </c>
      <c r="AC821" s="154">
        <v>5.46</v>
      </c>
      <c r="AD821" s="154">
        <v>4.6900000000000004</v>
      </c>
      <c r="AE821" s="154">
        <v>6.23</v>
      </c>
      <c r="AF821" s="154"/>
      <c r="AG821" s="443"/>
      <c r="AH821" s="443"/>
      <c r="AI821" s="183" t="s">
        <v>376</v>
      </c>
      <c r="AJ821" s="105" t="s">
        <v>66</v>
      </c>
      <c r="AK821" s="201"/>
      <c r="AL821" s="443"/>
      <c r="AM821" s="443"/>
      <c r="AN821" s="51" t="s">
        <v>384</v>
      </c>
      <c r="AO821" s="51" t="s">
        <v>660</v>
      </c>
      <c r="AP821" s="51" t="s">
        <v>665</v>
      </c>
      <c r="AQ821" s="155" t="s">
        <v>37</v>
      </c>
      <c r="AR821" s="172">
        <v>44036</v>
      </c>
      <c r="AS821" s="155" t="s">
        <v>37</v>
      </c>
      <c r="AT821" s="362"/>
      <c r="AU821" s="1111"/>
    </row>
    <row r="822" spans="1:47" s="135" customFormat="1" ht="52.5" thickBot="1" x14ac:dyDescent="0.3">
      <c r="A822" s="808"/>
      <c r="B822" s="550"/>
      <c r="C822" s="161"/>
      <c r="D822" s="573"/>
      <c r="E822" s="573"/>
      <c r="F822" s="161"/>
      <c r="G822" s="162"/>
      <c r="H822" s="163"/>
      <c r="I822" s="423"/>
      <c r="J822" s="248">
        <v>446</v>
      </c>
      <c r="K822" s="472" t="s">
        <v>3104</v>
      </c>
      <c r="L822" s="934">
        <v>1645305.1143</v>
      </c>
      <c r="M822" s="934">
        <v>5397710.1985999998</v>
      </c>
      <c r="N822" s="426"/>
      <c r="O822" s="426" t="s">
        <v>3105</v>
      </c>
      <c r="P822" s="426"/>
      <c r="Q822" s="426"/>
      <c r="R822" s="426"/>
      <c r="S822" s="426"/>
      <c r="T822" s="481" t="s">
        <v>3106</v>
      </c>
      <c r="U822" s="206" t="s">
        <v>85</v>
      </c>
      <c r="V822" s="204" t="s">
        <v>16</v>
      </c>
      <c r="W822" s="204" t="s">
        <v>85</v>
      </c>
      <c r="X822" s="176" t="s">
        <v>5</v>
      </c>
      <c r="Y822" s="176" t="s">
        <v>3107</v>
      </c>
      <c r="Z822" s="208" t="s">
        <v>798</v>
      </c>
      <c r="AA822" s="176">
        <v>1</v>
      </c>
      <c r="AB822" s="204" t="s">
        <v>3108</v>
      </c>
      <c r="AC822" s="204"/>
      <c r="AD822" s="204">
        <v>5.3209999999999997</v>
      </c>
      <c r="AE822" s="204">
        <v>5.6109999999999998</v>
      </c>
      <c r="AF822" s="204"/>
      <c r="AG822" s="353"/>
      <c r="AH822" s="353"/>
      <c r="AI822" s="207" t="s">
        <v>549</v>
      </c>
      <c r="AJ822" s="106"/>
      <c r="AK822" s="205"/>
      <c r="AL822" s="353"/>
      <c r="AM822" s="353"/>
      <c r="AN822" s="94" t="s">
        <v>3109</v>
      </c>
      <c r="AO822" s="94" t="s">
        <v>3110</v>
      </c>
      <c r="AP822" s="94" t="s">
        <v>3102</v>
      </c>
      <c r="AQ822" s="208" t="s">
        <v>37</v>
      </c>
      <c r="AR822" s="209">
        <v>44132</v>
      </c>
      <c r="AS822" s="208" t="s">
        <v>37</v>
      </c>
      <c r="AT822" s="364"/>
      <c r="AU822" s="1109"/>
    </row>
    <row r="823" spans="1:47" ht="52.5" thickBot="1" x14ac:dyDescent="0.3">
      <c r="A823" s="808"/>
      <c r="B823" s="550"/>
      <c r="C823" s="161"/>
      <c r="D823" s="573"/>
      <c r="E823" s="573"/>
      <c r="F823" s="161"/>
      <c r="G823" s="161"/>
      <c r="H823" s="163"/>
      <c r="I823" s="423"/>
      <c r="J823" s="248">
        <v>1300</v>
      </c>
      <c r="K823" s="472" t="s">
        <v>2779</v>
      </c>
      <c r="L823" s="934">
        <v>1594531.6584000001</v>
      </c>
      <c r="M823" s="934">
        <v>5375338.3801999995</v>
      </c>
      <c r="N823" s="426"/>
      <c r="O823" s="426" t="s">
        <v>3592</v>
      </c>
      <c r="P823" s="426" t="s">
        <v>5</v>
      </c>
      <c r="Q823" s="426"/>
      <c r="R823" s="426"/>
      <c r="S823" s="426"/>
      <c r="T823" s="481" t="s">
        <v>5144</v>
      </c>
      <c r="U823" s="85" t="s">
        <v>10</v>
      </c>
      <c r="V823" s="86" t="s">
        <v>16</v>
      </c>
      <c r="W823" s="86" t="s">
        <v>16</v>
      </c>
      <c r="X823" s="197" t="s">
        <v>61</v>
      </c>
      <c r="Y823" s="197" t="s">
        <v>3591</v>
      </c>
      <c r="Z823" s="92" t="s">
        <v>3590</v>
      </c>
      <c r="AA823" s="86"/>
      <c r="AB823" s="197" t="s">
        <v>3589</v>
      </c>
      <c r="AC823" s="86">
        <v>89</v>
      </c>
      <c r="AD823" s="86">
        <v>78</v>
      </c>
      <c r="AE823" s="86">
        <v>100</v>
      </c>
      <c r="AF823" s="86"/>
      <c r="AG823" s="387"/>
      <c r="AH823" s="387"/>
      <c r="AI823" s="94" t="s">
        <v>23</v>
      </c>
      <c r="AJ823" s="106"/>
      <c r="AK823" s="86"/>
      <c r="AL823" s="387"/>
      <c r="AM823" s="387"/>
      <c r="AN823" s="92" t="s">
        <v>3588</v>
      </c>
      <c r="AO823" s="92" t="s">
        <v>3587</v>
      </c>
      <c r="AP823" s="342" t="s">
        <v>6991</v>
      </c>
      <c r="AQ823" s="92" t="s">
        <v>1380</v>
      </c>
      <c r="AR823" s="93">
        <v>44246</v>
      </c>
      <c r="AS823" s="92" t="s">
        <v>1380</v>
      </c>
      <c r="AT823" s="93"/>
      <c r="AU823" s="1108"/>
    </row>
    <row r="824" spans="1:47" ht="77.25" x14ac:dyDescent="0.25">
      <c r="A824" s="808"/>
      <c r="B824" s="550"/>
      <c r="C824" s="161"/>
      <c r="D824" s="573"/>
      <c r="E824" s="573"/>
      <c r="F824" s="161"/>
      <c r="G824" s="161"/>
      <c r="H824" s="163"/>
      <c r="I824" s="423"/>
      <c r="J824" s="157">
        <v>1301</v>
      </c>
      <c r="K824" s="433" t="s">
        <v>3600</v>
      </c>
      <c r="L824" s="924">
        <v>1680226.6481999999</v>
      </c>
      <c r="M824" s="924">
        <v>5408711.6664000005</v>
      </c>
      <c r="N824" s="159"/>
      <c r="O824" s="159" t="s">
        <v>41</v>
      </c>
      <c r="P824" s="159" t="s">
        <v>5</v>
      </c>
      <c r="Q824" s="159"/>
      <c r="R824" s="159"/>
      <c r="S824" s="159"/>
      <c r="T824" s="480" t="s">
        <v>5146</v>
      </c>
      <c r="U824" s="101" t="s">
        <v>16</v>
      </c>
      <c r="V824" s="31" t="s">
        <v>85</v>
      </c>
      <c r="W824" s="31" t="s">
        <v>85</v>
      </c>
      <c r="X824" s="97" t="s">
        <v>5</v>
      </c>
      <c r="Y824" s="97">
        <v>25</v>
      </c>
      <c r="Z824" s="40" t="s">
        <v>1779</v>
      </c>
      <c r="AA824" s="31"/>
      <c r="AB824" s="97" t="s">
        <v>3599</v>
      </c>
      <c r="AC824" s="31">
        <v>4.7</v>
      </c>
      <c r="AD824" s="31">
        <v>4.5</v>
      </c>
      <c r="AE824" s="31">
        <v>4.9000000000000004</v>
      </c>
      <c r="AF824" s="31"/>
      <c r="AG824" s="372"/>
      <c r="AH824" s="372"/>
      <c r="AI824" s="30" t="s">
        <v>549</v>
      </c>
      <c r="AJ824" s="130"/>
      <c r="AK824" s="31"/>
      <c r="AL824" s="372"/>
      <c r="AM824" s="372"/>
      <c r="AN824" s="40" t="s">
        <v>3598</v>
      </c>
      <c r="AO824" s="40" t="s">
        <v>3597</v>
      </c>
      <c r="AP824" s="389" t="s">
        <v>3365</v>
      </c>
      <c r="AQ824" s="40" t="s">
        <v>1380</v>
      </c>
      <c r="AR824" s="874">
        <v>44246</v>
      </c>
      <c r="AS824" s="40" t="s">
        <v>1380</v>
      </c>
      <c r="AT824" s="41">
        <v>44147</v>
      </c>
      <c r="AU824" s="652" t="s">
        <v>37</v>
      </c>
    </row>
    <row r="825" spans="1:47" ht="78" thickBot="1" x14ac:dyDescent="0.3">
      <c r="A825" s="809"/>
      <c r="B825" s="174"/>
      <c r="C825" s="165"/>
      <c r="D825" s="574"/>
      <c r="E825" s="574"/>
      <c r="F825" s="165"/>
      <c r="G825" s="165"/>
      <c r="H825" s="167"/>
      <c r="I825" s="424"/>
      <c r="J825" s="165">
        <v>1302</v>
      </c>
      <c r="K825" s="435" t="s">
        <v>3596</v>
      </c>
      <c r="L825" s="925">
        <v>1682718.5351</v>
      </c>
      <c r="M825" s="925">
        <v>5410236.7768999999</v>
      </c>
      <c r="N825" s="167"/>
      <c r="O825" s="167" t="s">
        <v>41</v>
      </c>
      <c r="P825" s="167" t="s">
        <v>5</v>
      </c>
      <c r="Q825" s="167"/>
      <c r="R825" s="167"/>
      <c r="S825" s="167"/>
      <c r="T825" s="200" t="s">
        <v>5145</v>
      </c>
      <c r="U825" s="104" t="s">
        <v>16</v>
      </c>
      <c r="V825" s="25" t="s">
        <v>85</v>
      </c>
      <c r="W825" s="25" t="s">
        <v>85</v>
      </c>
      <c r="X825" s="120" t="s">
        <v>5</v>
      </c>
      <c r="Y825" s="120">
        <v>17</v>
      </c>
      <c r="Z825" s="52" t="s">
        <v>1779</v>
      </c>
      <c r="AA825" s="25"/>
      <c r="AB825" s="120" t="s">
        <v>3595</v>
      </c>
      <c r="AC825" s="25">
        <v>7.5</v>
      </c>
      <c r="AD825" s="25">
        <v>7.3</v>
      </c>
      <c r="AE825" s="25">
        <v>7.7</v>
      </c>
      <c r="AF825" s="25"/>
      <c r="AG825" s="386"/>
      <c r="AH825" s="386"/>
      <c r="AI825" s="51" t="s">
        <v>549</v>
      </c>
      <c r="AJ825" s="105"/>
      <c r="AK825" s="25"/>
      <c r="AL825" s="386"/>
      <c r="AM825" s="386"/>
      <c r="AN825" s="52" t="s">
        <v>3594</v>
      </c>
      <c r="AO825" s="52" t="s">
        <v>3593</v>
      </c>
      <c r="AP825" s="391" t="s">
        <v>3365</v>
      </c>
      <c r="AQ825" s="52" t="s">
        <v>1380</v>
      </c>
      <c r="AR825" s="877">
        <v>44246</v>
      </c>
      <c r="AS825" s="52" t="s">
        <v>1380</v>
      </c>
      <c r="AT825" s="53">
        <v>44147</v>
      </c>
      <c r="AU825" s="653" t="s">
        <v>37</v>
      </c>
    </row>
    <row r="826" spans="1:47" ht="39" x14ac:dyDescent="0.25">
      <c r="A826" s="341" t="s">
        <v>2054</v>
      </c>
      <c r="B826" s="181" t="s">
        <v>2054</v>
      </c>
      <c r="C826" s="125">
        <v>716</v>
      </c>
      <c r="D826" s="585" t="s">
        <v>52</v>
      </c>
      <c r="E826" s="585" t="s">
        <v>53</v>
      </c>
      <c r="F826" s="125" t="s">
        <v>567</v>
      </c>
      <c r="G826" s="125" t="s">
        <v>1973</v>
      </c>
      <c r="H826" s="126" t="s">
        <v>6848</v>
      </c>
      <c r="I826" s="181" t="s">
        <v>150</v>
      </c>
      <c r="J826" s="189">
        <v>280</v>
      </c>
      <c r="K826" s="355" t="s">
        <v>2055</v>
      </c>
      <c r="L826" s="911">
        <v>1390408.3658</v>
      </c>
      <c r="M826" s="911">
        <v>5051150.8488999996</v>
      </c>
      <c r="N826" s="126"/>
      <c r="O826" s="126" t="s">
        <v>2056</v>
      </c>
      <c r="P826" s="126" t="s">
        <v>2047</v>
      </c>
      <c r="Q826" s="126"/>
      <c r="R826" s="126"/>
      <c r="S826" s="126"/>
      <c r="T826" s="344" t="s">
        <v>2056</v>
      </c>
      <c r="U826" s="31" t="s">
        <v>10</v>
      </c>
      <c r="V826" s="31" t="s">
        <v>16</v>
      </c>
      <c r="W826" s="31" t="s">
        <v>10</v>
      </c>
      <c r="X826" s="97" t="s">
        <v>194</v>
      </c>
      <c r="Y826" s="97" t="s">
        <v>2057</v>
      </c>
      <c r="Z826" s="40" t="s">
        <v>2058</v>
      </c>
      <c r="AA826" s="97">
        <v>1</v>
      </c>
      <c r="AB826" s="31" t="s">
        <v>2059</v>
      </c>
      <c r="AC826" s="31"/>
      <c r="AD826" s="31">
        <v>19</v>
      </c>
      <c r="AE826" s="31">
        <v>21</v>
      </c>
      <c r="AF826" s="31"/>
      <c r="AG826" s="372"/>
      <c r="AH826" s="372"/>
      <c r="AI826" s="30" t="s">
        <v>23</v>
      </c>
      <c r="AJ826" s="130"/>
      <c r="AK826" s="130"/>
      <c r="AL826" s="372"/>
      <c r="AM826" s="372"/>
      <c r="AN826" s="40" t="s">
        <v>2078</v>
      </c>
      <c r="AO826" s="40" t="s">
        <v>2060</v>
      </c>
      <c r="AP826" s="40" t="s">
        <v>2061</v>
      </c>
      <c r="AQ826" s="40" t="s">
        <v>37</v>
      </c>
      <c r="AR826" s="41">
        <v>44245</v>
      </c>
      <c r="AS826" s="40" t="s">
        <v>37</v>
      </c>
      <c r="AT826" s="54"/>
      <c r="AU826" s="652"/>
    </row>
    <row r="827" spans="1:47" ht="39" x14ac:dyDescent="0.25">
      <c r="A827" s="339"/>
      <c r="B827" s="116"/>
      <c r="C827" s="95"/>
      <c r="D827" s="567"/>
      <c r="E827" s="567"/>
      <c r="F827" s="95"/>
      <c r="G827" s="146"/>
      <c r="H827" s="108"/>
      <c r="I827" s="116"/>
      <c r="J827" s="191">
        <v>281</v>
      </c>
      <c r="K827" s="359" t="s">
        <v>2062</v>
      </c>
      <c r="L827" s="913">
        <v>1390409.1007999999</v>
      </c>
      <c r="M827" s="913">
        <v>5051164.6489000004</v>
      </c>
      <c r="N827" s="108"/>
      <c r="O827" s="108" t="s">
        <v>2065</v>
      </c>
      <c r="P827" s="108" t="s">
        <v>2047</v>
      </c>
      <c r="Q827" s="108"/>
      <c r="R827" s="108"/>
      <c r="S827" s="108"/>
      <c r="T827" s="184" t="s">
        <v>2065</v>
      </c>
      <c r="U827" s="24" t="s">
        <v>10</v>
      </c>
      <c r="V827" s="24" t="s">
        <v>10</v>
      </c>
      <c r="W827" s="24" t="s">
        <v>10</v>
      </c>
      <c r="X827" s="117" t="s">
        <v>194</v>
      </c>
      <c r="Y827" s="117" t="s">
        <v>2066</v>
      </c>
      <c r="Z827" s="46" t="s">
        <v>2058</v>
      </c>
      <c r="AA827" s="117">
        <v>1</v>
      </c>
      <c r="AB827" s="24" t="s">
        <v>2067</v>
      </c>
      <c r="AC827" s="24"/>
      <c r="AD827" s="24">
        <v>13</v>
      </c>
      <c r="AE827" s="24">
        <v>21</v>
      </c>
      <c r="AF827" s="24"/>
      <c r="AG827" s="351"/>
      <c r="AH827" s="351"/>
      <c r="AI827" s="45" t="s">
        <v>23</v>
      </c>
      <c r="AJ827" s="103"/>
      <c r="AK827" s="103"/>
      <c r="AL827" s="351"/>
      <c r="AM827" s="351"/>
      <c r="AN827" s="46" t="s">
        <v>2079</v>
      </c>
      <c r="AO827" s="46" t="s">
        <v>2071</v>
      </c>
      <c r="AP827" s="46" t="s">
        <v>2061</v>
      </c>
      <c r="AQ827" s="46" t="s">
        <v>37</v>
      </c>
      <c r="AR827" s="47">
        <v>44245</v>
      </c>
      <c r="AS827" s="46" t="s">
        <v>37</v>
      </c>
      <c r="AT827" s="365"/>
      <c r="AU827" s="1107"/>
    </row>
    <row r="828" spans="1:47" ht="27" thickBot="1" x14ac:dyDescent="0.3">
      <c r="A828" s="339"/>
      <c r="B828" s="116"/>
      <c r="C828" s="95"/>
      <c r="D828" s="567"/>
      <c r="E828" s="567"/>
      <c r="F828" s="95"/>
      <c r="G828" s="146"/>
      <c r="H828" s="108"/>
      <c r="I828" s="116"/>
      <c r="J828" s="191">
        <v>282</v>
      </c>
      <c r="K828" s="359" t="s">
        <v>2063</v>
      </c>
      <c r="L828" s="913">
        <v>1390413.44</v>
      </c>
      <c r="M828" s="913">
        <v>5051137.4873000002</v>
      </c>
      <c r="N828" s="108"/>
      <c r="O828" s="108" t="s">
        <v>2064</v>
      </c>
      <c r="P828" s="108" t="s">
        <v>194</v>
      </c>
      <c r="Q828" s="384"/>
      <c r="R828" s="384"/>
      <c r="S828" s="384"/>
      <c r="T828" s="184" t="s">
        <v>2073</v>
      </c>
      <c r="U828" s="24" t="s">
        <v>10</v>
      </c>
      <c r="V828" s="24" t="s">
        <v>10</v>
      </c>
      <c r="W828" s="24" t="s">
        <v>10</v>
      </c>
      <c r="X828" s="117" t="s">
        <v>194</v>
      </c>
      <c r="Y828" s="117" t="s">
        <v>2068</v>
      </c>
      <c r="Z828" s="46" t="s">
        <v>2058</v>
      </c>
      <c r="AA828" s="117">
        <v>1</v>
      </c>
      <c r="AB828" s="24" t="s">
        <v>2069</v>
      </c>
      <c r="AC828" s="24"/>
      <c r="AD828" s="24">
        <v>19</v>
      </c>
      <c r="AE828" s="24">
        <v>23</v>
      </c>
      <c r="AF828" s="24"/>
      <c r="AG828" s="351"/>
      <c r="AH828" s="351"/>
      <c r="AI828" s="45" t="s">
        <v>23</v>
      </c>
      <c r="AJ828" s="103"/>
      <c r="AK828" s="103"/>
      <c r="AL828" s="351"/>
      <c r="AM828" s="351"/>
      <c r="AN828" s="46" t="s">
        <v>2070</v>
      </c>
      <c r="AO828" s="46" t="s">
        <v>2072</v>
      </c>
      <c r="AP828" s="46" t="s">
        <v>2061</v>
      </c>
      <c r="AQ828" s="46" t="s">
        <v>37</v>
      </c>
      <c r="AR828" s="47">
        <v>44245</v>
      </c>
      <c r="AS828" s="46" t="s">
        <v>37</v>
      </c>
      <c r="AT828" s="365"/>
      <c r="AU828" s="1107"/>
    </row>
    <row r="829" spans="1:47" ht="39.75" thickBot="1" x14ac:dyDescent="0.3">
      <c r="A829" s="336"/>
      <c r="B829" s="196"/>
      <c r="C829" s="96"/>
      <c r="D829" s="566"/>
      <c r="E829" s="566"/>
      <c r="F829" s="96"/>
      <c r="G829" s="147"/>
      <c r="H829" s="107"/>
      <c r="I829" s="196"/>
      <c r="J829" s="89">
        <v>283</v>
      </c>
      <c r="K829" s="396" t="s">
        <v>2074</v>
      </c>
      <c r="L829" s="265">
        <v>1390253.2002999999</v>
      </c>
      <c r="M829" s="265">
        <v>5051429.9978999998</v>
      </c>
      <c r="N829" s="109"/>
      <c r="O829" s="109" t="s">
        <v>2075</v>
      </c>
      <c r="P829" s="109" t="s">
        <v>2047</v>
      </c>
      <c r="Q829" s="109"/>
      <c r="R829" s="109"/>
      <c r="S829" s="109"/>
      <c r="T829" s="343" t="s">
        <v>2075</v>
      </c>
      <c r="U829" s="85" t="s">
        <v>10</v>
      </c>
      <c r="V829" s="86" t="s">
        <v>10</v>
      </c>
      <c r="W829" s="86" t="s">
        <v>10</v>
      </c>
      <c r="X829" s="197" t="s">
        <v>194</v>
      </c>
      <c r="Y829" s="197" t="s">
        <v>2076</v>
      </c>
      <c r="Z829" s="92" t="s">
        <v>2058</v>
      </c>
      <c r="AA829" s="197">
        <v>1</v>
      </c>
      <c r="AB829" s="86" t="s">
        <v>2077</v>
      </c>
      <c r="AC829" s="86"/>
      <c r="AD829" s="86">
        <v>18.399999999999999</v>
      </c>
      <c r="AE829" s="86">
        <v>23</v>
      </c>
      <c r="AF829" s="86"/>
      <c r="AG829" s="387"/>
      <c r="AH829" s="387"/>
      <c r="AI829" s="94" t="s">
        <v>23</v>
      </c>
      <c r="AJ829" s="106"/>
      <c r="AK829" s="106"/>
      <c r="AL829" s="387"/>
      <c r="AM829" s="387"/>
      <c r="AN829" s="92" t="s">
        <v>2080</v>
      </c>
      <c r="AO829" s="92" t="s">
        <v>2081</v>
      </c>
      <c r="AP829" s="92" t="s">
        <v>2061</v>
      </c>
      <c r="AQ829" s="92" t="s">
        <v>37</v>
      </c>
      <c r="AR829" s="93">
        <v>44245</v>
      </c>
      <c r="AS829" s="92" t="s">
        <v>37</v>
      </c>
      <c r="AT829" s="368"/>
      <c r="AU829" s="1108"/>
    </row>
    <row r="830" spans="1:47" s="8" customFormat="1" ht="27" thickBot="1" x14ac:dyDescent="0.3">
      <c r="A830" s="1036" t="s">
        <v>5186</v>
      </c>
      <c r="B830" s="537" t="s">
        <v>5186</v>
      </c>
      <c r="C830" s="210">
        <v>391</v>
      </c>
      <c r="D830" s="537" t="s">
        <v>53</v>
      </c>
      <c r="E830" s="537" t="s">
        <v>52</v>
      </c>
      <c r="F830" s="210" t="s">
        <v>567</v>
      </c>
      <c r="G830" s="210" t="s">
        <v>1972</v>
      </c>
      <c r="H830" s="264" t="s">
        <v>5495</v>
      </c>
      <c r="I830" s="637" t="s">
        <v>5580</v>
      </c>
      <c r="J830" s="263">
        <v>2332</v>
      </c>
      <c r="K830" s="467" t="s">
        <v>5186</v>
      </c>
      <c r="L830" s="922">
        <v>1858105.075</v>
      </c>
      <c r="M830" s="922">
        <v>5491387.9272999996</v>
      </c>
      <c r="N830" s="264">
        <v>55</v>
      </c>
      <c r="O830" s="264" t="s">
        <v>5865</v>
      </c>
      <c r="P830" s="264" t="s">
        <v>61</v>
      </c>
      <c r="Q830" s="455"/>
      <c r="R830" s="455"/>
      <c r="S830" s="455"/>
      <c r="T830" s="457" t="s">
        <v>5863</v>
      </c>
      <c r="U830" s="288" t="s">
        <v>16</v>
      </c>
      <c r="V830" s="97" t="s">
        <v>85</v>
      </c>
      <c r="W830" s="97" t="s">
        <v>16</v>
      </c>
      <c r="X830" s="97" t="s">
        <v>61</v>
      </c>
      <c r="Y830" s="302" t="s">
        <v>5187</v>
      </c>
      <c r="Z830" s="40" t="s">
        <v>34</v>
      </c>
      <c r="AA830" s="97">
        <v>2</v>
      </c>
      <c r="AB830" s="302" t="s">
        <v>5156</v>
      </c>
      <c r="AC830" s="97">
        <v>12</v>
      </c>
      <c r="AD830" s="97"/>
      <c r="AE830" s="621"/>
      <c r="AF830" s="97">
        <v>10</v>
      </c>
      <c r="AG830" s="621"/>
      <c r="AH830" s="621"/>
      <c r="AI830" s="30" t="s">
        <v>256</v>
      </c>
      <c r="AJ830" s="97" t="s">
        <v>3459</v>
      </c>
      <c r="AK830" s="97"/>
      <c r="AL830" s="97"/>
      <c r="AM830" s="97"/>
      <c r="AN830" s="30" t="s">
        <v>5864</v>
      </c>
      <c r="AO830" s="286" t="s">
        <v>5157</v>
      </c>
      <c r="AP830" s="286" t="s">
        <v>1462</v>
      </c>
      <c r="AQ830" s="286" t="s">
        <v>3457</v>
      </c>
      <c r="AR830" s="285">
        <v>44245</v>
      </c>
      <c r="AS830" s="286" t="s">
        <v>3457</v>
      </c>
      <c r="AT830" s="285">
        <v>44270</v>
      </c>
      <c r="AU830" s="284" t="s">
        <v>37</v>
      </c>
    </row>
    <row r="831" spans="1:47" s="546" customFormat="1" ht="26.25" x14ac:dyDescent="0.25">
      <c r="A831" s="341" t="s">
        <v>5673</v>
      </c>
      <c r="B831" s="181" t="s">
        <v>5673</v>
      </c>
      <c r="C831" s="125">
        <v>306</v>
      </c>
      <c r="D831" s="585" t="s">
        <v>52</v>
      </c>
      <c r="E831" s="585" t="s">
        <v>53</v>
      </c>
      <c r="F831" s="125" t="s">
        <v>4679</v>
      </c>
      <c r="G831" s="145" t="s">
        <v>1973</v>
      </c>
      <c r="H831" s="126" t="s">
        <v>2277</v>
      </c>
      <c r="I831" s="247" t="s">
        <v>6849</v>
      </c>
      <c r="J831" s="189">
        <v>2422</v>
      </c>
      <c r="K831" s="355" t="s">
        <v>5674</v>
      </c>
      <c r="L831" s="911">
        <v>1888164.7361999999</v>
      </c>
      <c r="M831" s="911">
        <v>5594353.2573999995</v>
      </c>
      <c r="N831" s="126"/>
      <c r="O831" s="126" t="s">
        <v>5676</v>
      </c>
      <c r="P831" s="126" t="s">
        <v>194</v>
      </c>
      <c r="Q831" s="126"/>
      <c r="R831" s="126"/>
      <c r="S831" s="558">
        <f>0.11+(0.2-0.11)/2</f>
        <v>0.155</v>
      </c>
      <c r="T831" s="344" t="s">
        <v>5866</v>
      </c>
      <c r="U831" s="101" t="s">
        <v>10</v>
      </c>
      <c r="V831" s="31" t="s">
        <v>16</v>
      </c>
      <c r="W831" s="31" t="s">
        <v>16</v>
      </c>
      <c r="X831" s="97" t="s">
        <v>194</v>
      </c>
      <c r="Y831" s="153" t="s">
        <v>6347</v>
      </c>
      <c r="Z831" s="203" t="s">
        <v>3461</v>
      </c>
      <c r="AA831" s="153">
        <v>1</v>
      </c>
      <c r="AB831" s="202" t="s">
        <v>5320</v>
      </c>
      <c r="AC831" s="151">
        <v>15</v>
      </c>
      <c r="AD831" s="151"/>
      <c r="AE831" s="151"/>
      <c r="AF831" s="151">
        <v>12</v>
      </c>
      <c r="AG831" s="442"/>
      <c r="AH831" s="442"/>
      <c r="AI831" s="203" t="s">
        <v>256</v>
      </c>
      <c r="AJ831" s="202" t="s">
        <v>13</v>
      </c>
      <c r="AK831" s="202"/>
      <c r="AL831" s="442">
        <v>1</v>
      </c>
      <c r="AM831" s="442">
        <v>2</v>
      </c>
      <c r="AN831" s="203" t="s">
        <v>6348</v>
      </c>
      <c r="AO831" s="203" t="s">
        <v>6349</v>
      </c>
      <c r="AP831" s="30" t="s">
        <v>10082</v>
      </c>
      <c r="AQ831" s="40" t="s">
        <v>3457</v>
      </c>
      <c r="AR831" s="41">
        <v>44321</v>
      </c>
      <c r="AS831" s="40" t="s">
        <v>6350</v>
      </c>
      <c r="AT831" s="41">
        <v>44321</v>
      </c>
      <c r="AU831" s="652" t="s">
        <v>37</v>
      </c>
    </row>
    <row r="832" spans="1:47" s="546" customFormat="1" ht="27" thickBot="1" x14ac:dyDescent="0.3">
      <c r="A832" s="336"/>
      <c r="B832" s="196"/>
      <c r="C832" s="96"/>
      <c r="D832" s="566"/>
      <c r="E832" s="566"/>
      <c r="F832" s="96"/>
      <c r="G832" s="147"/>
      <c r="H832" s="107"/>
      <c r="I832" s="123"/>
      <c r="J832" s="190">
        <v>2423</v>
      </c>
      <c r="K832" s="357" t="s">
        <v>5675</v>
      </c>
      <c r="L832" s="912">
        <v>1887528.9828999999</v>
      </c>
      <c r="M832" s="912">
        <v>5593669.1035000002</v>
      </c>
      <c r="N832" s="107"/>
      <c r="O832" s="107" t="s">
        <v>5677</v>
      </c>
      <c r="P832" s="107" t="s">
        <v>194</v>
      </c>
      <c r="Q832" s="107"/>
      <c r="R832" s="107"/>
      <c r="S832" s="559">
        <f>0.08+(0.15-0.08)/2</f>
        <v>0.11499999999999999</v>
      </c>
      <c r="T832" s="127" t="s">
        <v>5867</v>
      </c>
      <c r="U832" s="273" t="s">
        <v>10</v>
      </c>
      <c r="V832" s="120" t="s">
        <v>16</v>
      </c>
      <c r="W832" s="120" t="s">
        <v>16</v>
      </c>
      <c r="X832" s="120" t="s">
        <v>194</v>
      </c>
      <c r="Y832" s="156" t="s">
        <v>5190</v>
      </c>
      <c r="Z832" s="183" t="s">
        <v>3461</v>
      </c>
      <c r="AA832" s="156">
        <v>1</v>
      </c>
      <c r="AB832" s="201" t="s">
        <v>5320</v>
      </c>
      <c r="AC832" s="154">
        <v>15</v>
      </c>
      <c r="AD832" s="154"/>
      <c r="AE832" s="154"/>
      <c r="AF832" s="154">
        <v>12</v>
      </c>
      <c r="AG832" s="443"/>
      <c r="AH832" s="443"/>
      <c r="AI832" s="183" t="s">
        <v>256</v>
      </c>
      <c r="AJ832" s="201" t="s">
        <v>13</v>
      </c>
      <c r="AK832" s="201"/>
      <c r="AL832" s="443">
        <v>1</v>
      </c>
      <c r="AM832" s="443">
        <v>2</v>
      </c>
      <c r="AN832" s="183" t="s">
        <v>6348</v>
      </c>
      <c r="AO832" s="183" t="s">
        <v>6349</v>
      </c>
      <c r="AP832" s="51" t="s">
        <v>10082</v>
      </c>
      <c r="AQ832" s="52" t="s">
        <v>3457</v>
      </c>
      <c r="AR832" s="53">
        <v>44321</v>
      </c>
      <c r="AS832" s="52" t="s">
        <v>6350</v>
      </c>
      <c r="AT832" s="53">
        <v>44321</v>
      </c>
      <c r="AU832" s="653" t="s">
        <v>37</v>
      </c>
    </row>
    <row r="833" spans="1:47" s="8" customFormat="1" ht="39.75" thickBot="1" x14ac:dyDescent="0.3">
      <c r="A833" s="648" t="s">
        <v>5188</v>
      </c>
      <c r="B833" s="598" t="s">
        <v>5189</v>
      </c>
      <c r="C833" s="248">
        <v>388</v>
      </c>
      <c r="D833" s="598" t="s">
        <v>53</v>
      </c>
      <c r="E833" s="598" t="s">
        <v>52</v>
      </c>
      <c r="F833" s="248" t="s">
        <v>567</v>
      </c>
      <c r="G833" s="248" t="s">
        <v>1972</v>
      </c>
      <c r="H833" s="426" t="s">
        <v>5495</v>
      </c>
      <c r="I833" s="634" t="s">
        <v>5581</v>
      </c>
      <c r="J833" s="87">
        <v>2333</v>
      </c>
      <c r="K833" s="360" t="s">
        <v>5188</v>
      </c>
      <c r="L833" s="907">
        <v>1882963.8940999999</v>
      </c>
      <c r="M833" s="907">
        <v>5520855.7995999996</v>
      </c>
      <c r="N833" s="199">
        <v>50</v>
      </c>
      <c r="O833" s="199" t="s">
        <v>5190</v>
      </c>
      <c r="P833" s="199" t="s">
        <v>5</v>
      </c>
      <c r="Q833" s="301"/>
      <c r="R833" s="301"/>
      <c r="S833" s="301"/>
      <c r="T833" s="300" t="s">
        <v>5873</v>
      </c>
      <c r="U833" s="273" t="s">
        <v>16</v>
      </c>
      <c r="V833" s="120" t="s">
        <v>85</v>
      </c>
      <c r="W833" s="120" t="s">
        <v>16</v>
      </c>
      <c r="X833" s="120" t="s">
        <v>61</v>
      </c>
      <c r="Y833" s="317" t="s">
        <v>5191</v>
      </c>
      <c r="Z833" s="52" t="s">
        <v>402</v>
      </c>
      <c r="AA833" s="120">
        <v>2</v>
      </c>
      <c r="AB833" s="317" t="s">
        <v>5156</v>
      </c>
      <c r="AC833" s="120">
        <v>12</v>
      </c>
      <c r="AD833" s="120"/>
      <c r="AE833" s="622"/>
      <c r="AF833" s="120">
        <v>10</v>
      </c>
      <c r="AG833" s="622"/>
      <c r="AH833" s="622"/>
      <c r="AI833" s="51" t="s">
        <v>256</v>
      </c>
      <c r="AJ833" s="120" t="s">
        <v>3459</v>
      </c>
      <c r="AK833" s="120"/>
      <c r="AL833" s="120"/>
      <c r="AM833" s="120"/>
      <c r="AN833" s="51" t="s">
        <v>6964</v>
      </c>
      <c r="AO833" s="271" t="s">
        <v>5157</v>
      </c>
      <c r="AP833" s="271" t="s">
        <v>1462</v>
      </c>
      <c r="AQ833" s="271" t="s">
        <v>3457</v>
      </c>
      <c r="AR833" s="270">
        <v>44245</v>
      </c>
      <c r="AS833" s="271" t="s">
        <v>3457</v>
      </c>
      <c r="AT833" s="270">
        <v>44271</v>
      </c>
      <c r="AU833" s="269" t="s">
        <v>37</v>
      </c>
    </row>
    <row r="834" spans="1:47" ht="52.5" thickBot="1" x14ac:dyDescent="0.3">
      <c r="A834" s="345" t="s">
        <v>50</v>
      </c>
      <c r="B834" s="331" t="s">
        <v>6830</v>
      </c>
      <c r="C834" s="83">
        <v>287</v>
      </c>
      <c r="D834" s="588" t="s">
        <v>53</v>
      </c>
      <c r="E834" s="588"/>
      <c r="F834" s="83" t="s">
        <v>1604</v>
      </c>
      <c r="G834" s="83" t="s">
        <v>1974</v>
      </c>
      <c r="H834" s="199" t="s">
        <v>2407</v>
      </c>
      <c r="I834" s="331" t="s">
        <v>2275</v>
      </c>
      <c r="J834" s="87">
        <v>1105</v>
      </c>
      <c r="K834" s="360" t="s">
        <v>1787</v>
      </c>
      <c r="L834" s="947">
        <v>1743196.1749</v>
      </c>
      <c r="M834" s="198">
        <v>5423033.9675000003</v>
      </c>
      <c r="N834" s="199"/>
      <c r="O834" s="199" t="s">
        <v>1786</v>
      </c>
      <c r="P834" s="199" t="s">
        <v>5</v>
      </c>
      <c r="Q834" s="199"/>
      <c r="R834" s="199"/>
      <c r="S834" s="199"/>
      <c r="T834" s="199" t="s">
        <v>6356</v>
      </c>
      <c r="U834" s="85" t="s">
        <v>16</v>
      </c>
      <c r="V834" s="86" t="s">
        <v>16</v>
      </c>
      <c r="W834" s="86" t="s">
        <v>16</v>
      </c>
      <c r="X834" s="197" t="s">
        <v>5</v>
      </c>
      <c r="Y834" s="197" t="s">
        <v>1785</v>
      </c>
      <c r="Z834" s="92" t="s">
        <v>402</v>
      </c>
      <c r="AA834" s="86">
        <v>2</v>
      </c>
      <c r="AB834" s="86">
        <v>10</v>
      </c>
      <c r="AC834" s="86"/>
      <c r="AD834" s="86"/>
      <c r="AE834" s="86"/>
      <c r="AF834" s="86"/>
      <c r="AG834" s="387"/>
      <c r="AH834" s="387"/>
      <c r="AI834" s="94" t="s">
        <v>549</v>
      </c>
      <c r="AJ834" s="106" t="s">
        <v>66</v>
      </c>
      <c r="AK834" s="86"/>
      <c r="AL834" s="387"/>
      <c r="AM834" s="387"/>
      <c r="AN834" s="92" t="s">
        <v>1784</v>
      </c>
      <c r="AO834" s="92" t="s">
        <v>1783</v>
      </c>
      <c r="AP834" s="92" t="s">
        <v>1782</v>
      </c>
      <c r="AQ834" s="92" t="s">
        <v>1380</v>
      </c>
      <c r="AR834" s="93">
        <v>44077</v>
      </c>
      <c r="AS834" s="92" t="s">
        <v>1380</v>
      </c>
      <c r="AT834" s="93">
        <v>44077</v>
      </c>
      <c r="AU834" s="1108" t="s">
        <v>37</v>
      </c>
    </row>
    <row r="835" spans="1:47" ht="52.5" thickBot="1" x14ac:dyDescent="0.3">
      <c r="A835" s="334" t="s">
        <v>50</v>
      </c>
      <c r="B835" s="333" t="s">
        <v>6831</v>
      </c>
      <c r="C835" s="84">
        <v>286</v>
      </c>
      <c r="D835" s="591" t="s">
        <v>53</v>
      </c>
      <c r="E835" s="591" t="s">
        <v>57</v>
      </c>
      <c r="F835" s="84" t="s">
        <v>1440</v>
      </c>
      <c r="G835" s="149" t="s">
        <v>3061</v>
      </c>
      <c r="H835" s="109" t="s">
        <v>2406</v>
      </c>
      <c r="I835" s="333" t="s">
        <v>2274</v>
      </c>
      <c r="J835" s="89">
        <v>1128</v>
      </c>
      <c r="K835" s="396" t="s">
        <v>1781</v>
      </c>
      <c r="L835" s="945">
        <v>1757983.0571999999</v>
      </c>
      <c r="M835" s="265">
        <v>5435508.8985000001</v>
      </c>
      <c r="N835" s="109"/>
      <c r="O835" s="109" t="s">
        <v>1780</v>
      </c>
      <c r="P835" s="109" t="s">
        <v>5</v>
      </c>
      <c r="Q835" s="109"/>
      <c r="R835" s="109"/>
      <c r="S835" s="109"/>
      <c r="T835" s="343" t="s">
        <v>6356</v>
      </c>
      <c r="U835" s="86" t="s">
        <v>85</v>
      </c>
      <c r="V835" s="86" t="s">
        <v>85</v>
      </c>
      <c r="W835" s="86" t="s">
        <v>85</v>
      </c>
      <c r="X835" s="197" t="s">
        <v>5</v>
      </c>
      <c r="Y835" s="197">
        <v>20</v>
      </c>
      <c r="Z835" s="92" t="s">
        <v>1779</v>
      </c>
      <c r="AA835" s="86"/>
      <c r="AB835" s="86" t="s">
        <v>1778</v>
      </c>
      <c r="AC835" s="86"/>
      <c r="AD835" s="86"/>
      <c r="AE835" s="86">
        <v>4</v>
      </c>
      <c r="AF835" s="86"/>
      <c r="AG835" s="387"/>
      <c r="AH835" s="387"/>
      <c r="AI835" s="94" t="s">
        <v>256</v>
      </c>
      <c r="AJ835" s="106"/>
      <c r="AK835" s="86"/>
      <c r="AL835" s="387"/>
      <c r="AM835" s="387"/>
      <c r="AN835" s="92" t="s">
        <v>1777</v>
      </c>
      <c r="AO835" s="92" t="s">
        <v>1776</v>
      </c>
      <c r="AP835" s="92" t="s">
        <v>5549</v>
      </c>
      <c r="AQ835" s="92" t="s">
        <v>1380</v>
      </c>
      <c r="AR835" s="93">
        <v>44078</v>
      </c>
      <c r="AS835" s="92" t="s">
        <v>1380</v>
      </c>
      <c r="AT835" s="93">
        <v>44082</v>
      </c>
      <c r="AU835" s="1108" t="s">
        <v>37</v>
      </c>
    </row>
    <row r="836" spans="1:47" ht="51.75" x14ac:dyDescent="0.25">
      <c r="A836" s="807" t="s">
        <v>50</v>
      </c>
      <c r="B836" s="349" t="s">
        <v>6832</v>
      </c>
      <c r="C836" s="157">
        <v>285</v>
      </c>
      <c r="D836" s="592" t="s">
        <v>53</v>
      </c>
      <c r="E836" s="592" t="s">
        <v>57</v>
      </c>
      <c r="F836" s="157" t="s">
        <v>155</v>
      </c>
      <c r="G836" s="158" t="s">
        <v>3061</v>
      </c>
      <c r="H836" s="647" t="s">
        <v>477</v>
      </c>
      <c r="I836" s="450" t="s">
        <v>2273</v>
      </c>
      <c r="J836" s="157">
        <v>7</v>
      </c>
      <c r="K836" s="433" t="s">
        <v>147</v>
      </c>
      <c r="L836" s="924">
        <v>1777235.21908</v>
      </c>
      <c r="M836" s="924">
        <v>5448283.5494999997</v>
      </c>
      <c r="N836" s="159"/>
      <c r="O836" s="159" t="s">
        <v>60</v>
      </c>
      <c r="P836" s="159" t="s">
        <v>61</v>
      </c>
      <c r="Q836" s="159"/>
      <c r="R836" s="159"/>
      <c r="S836" s="159"/>
      <c r="T836" s="480" t="s">
        <v>477</v>
      </c>
      <c r="U836" s="101" t="s">
        <v>10</v>
      </c>
      <c r="V836" s="31" t="s">
        <v>10</v>
      </c>
      <c r="W836" s="31" t="s">
        <v>10</v>
      </c>
      <c r="X836" s="97" t="s">
        <v>61</v>
      </c>
      <c r="Y836" s="97" t="s">
        <v>62</v>
      </c>
      <c r="Z836" s="40" t="s">
        <v>58</v>
      </c>
      <c r="AA836" s="97" t="s">
        <v>419</v>
      </c>
      <c r="AB836" s="31" t="s">
        <v>59</v>
      </c>
      <c r="AC836" s="31">
        <v>93.2</v>
      </c>
      <c r="AD836" s="31">
        <v>73.599999999999994</v>
      </c>
      <c r="AE836" s="31">
        <v>112.8</v>
      </c>
      <c r="AF836" s="31"/>
      <c r="AG836" s="372"/>
      <c r="AH836" s="372"/>
      <c r="AI836" s="30" t="s">
        <v>23</v>
      </c>
      <c r="AJ836" s="130" t="s">
        <v>13</v>
      </c>
      <c r="AK836" s="130"/>
      <c r="AL836" s="372"/>
      <c r="AM836" s="372"/>
      <c r="AN836" s="40" t="s">
        <v>188</v>
      </c>
      <c r="AO836" s="40" t="s">
        <v>164</v>
      </c>
      <c r="AP836" s="40" t="s">
        <v>63</v>
      </c>
      <c r="AQ836" s="40" t="s">
        <v>37</v>
      </c>
      <c r="AR836" s="41">
        <v>43965</v>
      </c>
      <c r="AS836" s="40" t="s">
        <v>37</v>
      </c>
      <c r="AT836" s="54"/>
      <c r="AU836" s="652"/>
    </row>
    <row r="837" spans="1:47" ht="51.75" x14ac:dyDescent="0.25">
      <c r="A837" s="808"/>
      <c r="B837" s="550"/>
      <c r="C837" s="161"/>
      <c r="D837" s="573"/>
      <c r="E837" s="573"/>
      <c r="F837" s="161"/>
      <c r="G837" s="162"/>
      <c r="H837" s="163"/>
      <c r="I837" s="423"/>
      <c r="J837" s="161">
        <v>8</v>
      </c>
      <c r="K837" s="434" t="s">
        <v>149</v>
      </c>
      <c r="L837" s="919">
        <v>1777132.17927</v>
      </c>
      <c r="M837" s="919">
        <v>5448409.0513199996</v>
      </c>
      <c r="N837" s="163"/>
      <c r="O837" s="163" t="s">
        <v>1045</v>
      </c>
      <c r="P837" s="161" t="s">
        <v>5</v>
      </c>
      <c r="Q837" s="163"/>
      <c r="R837" s="163"/>
      <c r="S837" s="163"/>
      <c r="T837" s="175" t="s">
        <v>6357</v>
      </c>
      <c r="U837" s="102" t="s">
        <v>10</v>
      </c>
      <c r="V837" s="24" t="s">
        <v>10</v>
      </c>
      <c r="W837" s="24" t="s">
        <v>10</v>
      </c>
      <c r="X837" s="24" t="s">
        <v>5</v>
      </c>
      <c r="Y837" s="24" t="s">
        <v>65</v>
      </c>
      <c r="Z837" s="46" t="s">
        <v>58</v>
      </c>
      <c r="AA837" s="136">
        <v>3</v>
      </c>
      <c r="AB837" s="24" t="s">
        <v>64</v>
      </c>
      <c r="AC837" s="24">
        <v>10</v>
      </c>
      <c r="AD837" s="24"/>
      <c r="AE837" s="24"/>
      <c r="AF837" s="24">
        <v>8</v>
      </c>
      <c r="AG837" s="351"/>
      <c r="AH837" s="351"/>
      <c r="AI837" s="45" t="s">
        <v>23</v>
      </c>
      <c r="AJ837" s="103" t="s">
        <v>66</v>
      </c>
      <c r="AK837" s="103"/>
      <c r="AL837" s="351"/>
      <c r="AM837" s="351"/>
      <c r="AN837" s="46" t="s">
        <v>67</v>
      </c>
      <c r="AO837" s="46" t="s">
        <v>164</v>
      </c>
      <c r="AP837" s="46" t="s">
        <v>63</v>
      </c>
      <c r="AQ837" s="46" t="s">
        <v>37</v>
      </c>
      <c r="AR837" s="47">
        <v>43965</v>
      </c>
      <c r="AS837" s="46" t="s">
        <v>37</v>
      </c>
      <c r="AT837" s="365"/>
      <c r="AU837" s="1107"/>
    </row>
    <row r="838" spans="1:47" ht="39.75" thickBot="1" x14ac:dyDescent="0.3">
      <c r="A838" s="808"/>
      <c r="B838" s="550"/>
      <c r="C838" s="161"/>
      <c r="D838" s="573"/>
      <c r="E838" s="573"/>
      <c r="F838" s="161"/>
      <c r="G838" s="162"/>
      <c r="H838" s="163"/>
      <c r="I838" s="423"/>
      <c r="J838" s="165">
        <v>9</v>
      </c>
      <c r="K838" s="435" t="s">
        <v>148</v>
      </c>
      <c r="L838" s="925">
        <v>1777343.592408</v>
      </c>
      <c r="M838" s="925">
        <v>5448532.222453</v>
      </c>
      <c r="N838" s="167"/>
      <c r="O838" s="167" t="s">
        <v>68</v>
      </c>
      <c r="P838" s="165" t="s">
        <v>5</v>
      </c>
      <c r="Q838" s="167"/>
      <c r="R838" s="167"/>
      <c r="S838" s="167"/>
      <c r="T838" s="200" t="s">
        <v>478</v>
      </c>
      <c r="U838" s="104" t="s">
        <v>10</v>
      </c>
      <c r="V838" s="25" t="s">
        <v>10</v>
      </c>
      <c r="W838" s="25" t="s">
        <v>10</v>
      </c>
      <c r="X838" s="25" t="s">
        <v>5</v>
      </c>
      <c r="Y838" s="25" t="s">
        <v>69</v>
      </c>
      <c r="Z838" s="52" t="s">
        <v>58</v>
      </c>
      <c r="AA838" s="120" t="s">
        <v>419</v>
      </c>
      <c r="AB838" s="25" t="s">
        <v>70</v>
      </c>
      <c r="AC838" s="25">
        <v>9</v>
      </c>
      <c r="AD838" s="25">
        <v>7.7</v>
      </c>
      <c r="AE838" s="25">
        <v>10.3</v>
      </c>
      <c r="AF838" s="25"/>
      <c r="AG838" s="386"/>
      <c r="AH838" s="386"/>
      <c r="AI838" s="51" t="s">
        <v>23</v>
      </c>
      <c r="AJ838" s="105" t="s">
        <v>66</v>
      </c>
      <c r="AK838" s="105"/>
      <c r="AL838" s="386"/>
      <c r="AM838" s="386"/>
      <c r="AN838" s="52" t="s">
        <v>187</v>
      </c>
      <c r="AO838" s="52" t="s">
        <v>164</v>
      </c>
      <c r="AP838" s="52" t="s">
        <v>63</v>
      </c>
      <c r="AQ838" s="52" t="s">
        <v>37</v>
      </c>
      <c r="AR838" s="53">
        <v>43965</v>
      </c>
      <c r="AS838" s="52" t="s">
        <v>37</v>
      </c>
      <c r="AT838" s="367"/>
      <c r="AU838" s="653"/>
    </row>
    <row r="839" spans="1:47" ht="52.5" thickBot="1" x14ac:dyDescent="0.3">
      <c r="A839" s="808"/>
      <c r="B839" s="550"/>
      <c r="C839" s="161"/>
      <c r="D839" s="573"/>
      <c r="E839" s="573"/>
      <c r="F839" s="161"/>
      <c r="G839" s="162"/>
      <c r="H839" s="163"/>
      <c r="I839" s="423"/>
      <c r="J839" s="165">
        <v>11</v>
      </c>
      <c r="K839" s="435" t="s">
        <v>80</v>
      </c>
      <c r="L839" s="925">
        <v>1777968.1414729999</v>
      </c>
      <c r="M839" s="925">
        <v>5448830.33978</v>
      </c>
      <c r="N839" s="167"/>
      <c r="O839" s="1078" t="s">
        <v>81</v>
      </c>
      <c r="P839" s="165" t="s">
        <v>5</v>
      </c>
      <c r="Q839" s="1078"/>
      <c r="R839" s="1078"/>
      <c r="S839" s="1078"/>
      <c r="T839" s="1086" t="s">
        <v>476</v>
      </c>
      <c r="U839" s="85" t="s">
        <v>10</v>
      </c>
      <c r="V839" s="86" t="s">
        <v>10</v>
      </c>
      <c r="W839" s="86" t="s">
        <v>10</v>
      </c>
      <c r="X839" s="86" t="s">
        <v>5</v>
      </c>
      <c r="Y839" s="86" t="s">
        <v>82</v>
      </c>
      <c r="Z839" s="92" t="s">
        <v>83</v>
      </c>
      <c r="AA839" s="176">
        <v>6</v>
      </c>
      <c r="AB839" s="86" t="s">
        <v>84</v>
      </c>
      <c r="AC839" s="86">
        <v>4.5</v>
      </c>
      <c r="AD839" s="86">
        <v>4.0999999999999996</v>
      </c>
      <c r="AE839" s="86">
        <v>4.9000000000000004</v>
      </c>
      <c r="AF839" s="86"/>
      <c r="AG839" s="387"/>
      <c r="AH839" s="387"/>
      <c r="AI839" s="94" t="s">
        <v>23</v>
      </c>
      <c r="AJ839" s="106" t="s">
        <v>66</v>
      </c>
      <c r="AK839" s="106">
        <v>4</v>
      </c>
      <c r="AL839" s="387"/>
      <c r="AM839" s="387"/>
      <c r="AN839" s="94" t="s">
        <v>207</v>
      </c>
      <c r="AO839" s="94" t="s">
        <v>165</v>
      </c>
      <c r="AP839" s="92" t="s">
        <v>78</v>
      </c>
      <c r="AQ839" s="92" t="s">
        <v>37</v>
      </c>
      <c r="AR839" s="93">
        <v>43966</v>
      </c>
      <c r="AS839" s="92" t="s">
        <v>37</v>
      </c>
      <c r="AT839" s="368"/>
      <c r="AU839" s="1108"/>
    </row>
    <row r="840" spans="1:47" ht="65.25" thickBot="1" x14ac:dyDescent="0.3">
      <c r="A840" s="809"/>
      <c r="B840" s="174"/>
      <c r="C840" s="165"/>
      <c r="D840" s="574"/>
      <c r="E840" s="574"/>
      <c r="F840" s="165"/>
      <c r="G840" s="166"/>
      <c r="H840" s="167"/>
      <c r="I840" s="424"/>
      <c r="J840" s="425">
        <v>1060</v>
      </c>
      <c r="K840" s="472" t="s">
        <v>1768</v>
      </c>
      <c r="L840" s="966">
        <v>1781916.1000999999</v>
      </c>
      <c r="M840" s="934">
        <v>5450515.8809000002</v>
      </c>
      <c r="N840" s="426"/>
      <c r="O840" s="529" t="s">
        <v>1769</v>
      </c>
      <c r="P840" s="248" t="s">
        <v>5</v>
      </c>
      <c r="Q840" s="529" t="s">
        <v>1770</v>
      </c>
      <c r="R840" s="529"/>
      <c r="S840" s="529"/>
      <c r="T840" s="529" t="s">
        <v>1771</v>
      </c>
      <c r="U840" s="85" t="s">
        <v>16</v>
      </c>
      <c r="V840" s="86" t="s">
        <v>16</v>
      </c>
      <c r="W840" s="86" t="s">
        <v>16</v>
      </c>
      <c r="X840" s="86" t="s">
        <v>5</v>
      </c>
      <c r="Y840" s="86" t="s">
        <v>1772</v>
      </c>
      <c r="Z840" s="92" t="s">
        <v>24</v>
      </c>
      <c r="AA840" s="197"/>
      <c r="AB840" s="86">
        <v>10.5</v>
      </c>
      <c r="AC840" s="86"/>
      <c r="AD840" s="86"/>
      <c r="AE840" s="86"/>
      <c r="AF840" s="86"/>
      <c r="AG840" s="387"/>
      <c r="AH840" s="387"/>
      <c r="AI840" s="94" t="s">
        <v>549</v>
      </c>
      <c r="AJ840" s="106"/>
      <c r="AK840" s="86"/>
      <c r="AL840" s="387"/>
      <c r="AM840" s="387"/>
      <c r="AN840" s="94" t="s">
        <v>1773</v>
      </c>
      <c r="AO840" s="94" t="s">
        <v>1774</v>
      </c>
      <c r="AP840" s="92" t="s">
        <v>1775</v>
      </c>
      <c r="AQ840" s="92" t="s">
        <v>1380</v>
      </c>
      <c r="AR840" s="93">
        <v>44075</v>
      </c>
      <c r="AS840" s="92" t="s">
        <v>1380</v>
      </c>
      <c r="AT840" s="93">
        <v>44077</v>
      </c>
      <c r="AU840" s="1108" t="s">
        <v>37</v>
      </c>
    </row>
    <row r="841" spans="1:47" ht="52.5" thickBot="1" x14ac:dyDescent="0.3">
      <c r="A841" s="341" t="s">
        <v>1831</v>
      </c>
      <c r="B841" s="181" t="s">
        <v>6833</v>
      </c>
      <c r="C841" s="125">
        <v>275</v>
      </c>
      <c r="D841" s="585" t="s">
        <v>53</v>
      </c>
      <c r="E841" s="585" t="s">
        <v>52</v>
      </c>
      <c r="F841" s="125" t="s">
        <v>152</v>
      </c>
      <c r="G841" s="125" t="s">
        <v>1972</v>
      </c>
      <c r="H841" s="126" t="s">
        <v>5630</v>
      </c>
      <c r="I841" s="247" t="s">
        <v>6850</v>
      </c>
      <c r="J841" s="89">
        <v>1059</v>
      </c>
      <c r="K841" s="396" t="s">
        <v>1830</v>
      </c>
      <c r="L841" s="945">
        <v>1827179.8662</v>
      </c>
      <c r="M841" s="265">
        <v>5513610.8761999998</v>
      </c>
      <c r="N841" s="109">
        <v>37</v>
      </c>
      <c r="O841" s="109" t="s">
        <v>1829</v>
      </c>
      <c r="P841" s="84" t="s">
        <v>5</v>
      </c>
      <c r="Q841" s="296" t="s">
        <v>1828</v>
      </c>
      <c r="R841" s="296"/>
      <c r="S841" s="296"/>
      <c r="T841" s="343" t="s">
        <v>1827</v>
      </c>
      <c r="U841" s="85" t="s">
        <v>16</v>
      </c>
      <c r="V841" s="86" t="s">
        <v>16</v>
      </c>
      <c r="W841" s="86" t="s">
        <v>16</v>
      </c>
      <c r="X841" s="86" t="s">
        <v>5</v>
      </c>
      <c r="Y841" s="86" t="s">
        <v>1826</v>
      </c>
      <c r="Z841" s="92" t="s">
        <v>798</v>
      </c>
      <c r="AA841" s="86"/>
      <c r="AB841" s="86" t="s">
        <v>1825</v>
      </c>
      <c r="AC841" s="86"/>
      <c r="AD841" s="86">
        <v>8.39</v>
      </c>
      <c r="AE841" s="86">
        <v>8.6999999999999993</v>
      </c>
      <c r="AF841" s="86"/>
      <c r="AG841" s="387"/>
      <c r="AH841" s="387"/>
      <c r="AI841" s="94" t="s">
        <v>549</v>
      </c>
      <c r="AJ841" s="106" t="s">
        <v>66</v>
      </c>
      <c r="AK841" s="86"/>
      <c r="AL841" s="387"/>
      <c r="AM841" s="387"/>
      <c r="AN841" s="92" t="s">
        <v>1824</v>
      </c>
      <c r="AO841" s="92" t="s">
        <v>1823</v>
      </c>
      <c r="AP841" s="92" t="s">
        <v>1807</v>
      </c>
      <c r="AQ841" s="92" t="s">
        <v>1380</v>
      </c>
      <c r="AR841" s="93">
        <v>44077</v>
      </c>
      <c r="AS841" s="92" t="s">
        <v>1380</v>
      </c>
      <c r="AT841" s="93">
        <v>44077</v>
      </c>
      <c r="AU841" s="1108" t="s">
        <v>37</v>
      </c>
    </row>
    <row r="842" spans="1:47" ht="52.5" thickBot="1" x14ac:dyDescent="0.3">
      <c r="A842" s="339"/>
      <c r="B842" s="116"/>
      <c r="C842" s="95"/>
      <c r="D842" s="567"/>
      <c r="E842" s="567"/>
      <c r="F842" s="95"/>
      <c r="G842" s="95"/>
      <c r="H842" s="108"/>
      <c r="I842" s="122"/>
      <c r="J842" s="89">
        <v>1058</v>
      </c>
      <c r="K842" s="396" t="s">
        <v>1822</v>
      </c>
      <c r="L842" s="945">
        <v>1827591.1728000001</v>
      </c>
      <c r="M842" s="265">
        <v>5514383.8712999998</v>
      </c>
      <c r="N842" s="109"/>
      <c r="O842" s="109" t="s">
        <v>1821</v>
      </c>
      <c r="P842" s="84" t="s">
        <v>5</v>
      </c>
      <c r="Q842" s="296"/>
      <c r="R842" s="296" t="s">
        <v>1820</v>
      </c>
      <c r="S842" s="296"/>
      <c r="T842" s="343" t="s">
        <v>1819</v>
      </c>
      <c r="U842" s="86" t="s">
        <v>16</v>
      </c>
      <c r="V842" s="86" t="s">
        <v>16</v>
      </c>
      <c r="W842" s="86" t="s">
        <v>16</v>
      </c>
      <c r="X842" s="86" t="s">
        <v>5</v>
      </c>
      <c r="Y842" s="86" t="s">
        <v>1818</v>
      </c>
      <c r="Z842" s="92" t="s">
        <v>798</v>
      </c>
      <c r="AA842" s="86"/>
      <c r="AB842" s="86" t="s">
        <v>1817</v>
      </c>
      <c r="AC842" s="86"/>
      <c r="AD842" s="86"/>
      <c r="AE842" s="86"/>
      <c r="AF842" s="86"/>
      <c r="AG842" s="86">
        <v>10.5</v>
      </c>
      <c r="AH842" s="86">
        <v>11.16</v>
      </c>
      <c r="AI842" s="94" t="s">
        <v>1810</v>
      </c>
      <c r="AJ842" s="106"/>
      <c r="AK842" s="86"/>
      <c r="AL842" s="387"/>
      <c r="AM842" s="387"/>
      <c r="AN842" s="92" t="s">
        <v>1816</v>
      </c>
      <c r="AO842" s="92" t="s">
        <v>1815</v>
      </c>
      <c r="AP842" s="52" t="s">
        <v>1807</v>
      </c>
      <c r="AQ842" s="92" t="s">
        <v>1380</v>
      </c>
      <c r="AR842" s="93">
        <v>44077</v>
      </c>
      <c r="AS842" s="92" t="s">
        <v>1380</v>
      </c>
      <c r="AT842" s="93">
        <v>44077</v>
      </c>
      <c r="AU842" s="1108" t="s">
        <v>37</v>
      </c>
    </row>
    <row r="843" spans="1:47" ht="78" thickBot="1" x14ac:dyDescent="0.3">
      <c r="A843" s="339"/>
      <c r="B843" s="116"/>
      <c r="C843" s="95"/>
      <c r="D843" s="567"/>
      <c r="E843" s="567"/>
      <c r="F843" s="95"/>
      <c r="G843" s="95"/>
      <c r="H843" s="108"/>
      <c r="I843" s="122"/>
      <c r="J843" s="189">
        <v>1057</v>
      </c>
      <c r="K843" s="355" t="s">
        <v>1814</v>
      </c>
      <c r="L843" s="967">
        <v>1828827.2368999999</v>
      </c>
      <c r="M843" s="911">
        <v>5516240.7674000002</v>
      </c>
      <c r="N843" s="126">
        <v>34</v>
      </c>
      <c r="O843" s="126" t="s">
        <v>1813</v>
      </c>
      <c r="P843" s="125" t="s">
        <v>5</v>
      </c>
      <c r="Q843" s="126"/>
      <c r="R843" s="126"/>
      <c r="S843" s="126"/>
      <c r="T843" s="344" t="s">
        <v>1812</v>
      </c>
      <c r="U843" s="31" t="s">
        <v>16</v>
      </c>
      <c r="V843" s="31" t="s">
        <v>16</v>
      </c>
      <c r="W843" s="31" t="s">
        <v>16</v>
      </c>
      <c r="X843" s="31" t="s">
        <v>5</v>
      </c>
      <c r="Y843" s="31" t="s">
        <v>387</v>
      </c>
      <c r="Z843" s="40" t="s">
        <v>24</v>
      </c>
      <c r="AA843" s="31"/>
      <c r="AB843" s="31" t="s">
        <v>1811</v>
      </c>
      <c r="AC843" s="31"/>
      <c r="AD843" s="31"/>
      <c r="AE843" s="31"/>
      <c r="AF843" s="31"/>
      <c r="AG843" s="372"/>
      <c r="AH843" s="372"/>
      <c r="AI843" s="30" t="s">
        <v>1810</v>
      </c>
      <c r="AJ843" s="130" t="s">
        <v>66</v>
      </c>
      <c r="AK843" s="31"/>
      <c r="AL843" s="372"/>
      <c r="AM843" s="372"/>
      <c r="AN843" s="40" t="s">
        <v>1809</v>
      </c>
      <c r="AO843" s="40" t="s">
        <v>1808</v>
      </c>
      <c r="AP843" s="40" t="s">
        <v>1807</v>
      </c>
      <c r="AQ843" s="40" t="s">
        <v>1380</v>
      </c>
      <c r="AR843" s="41">
        <v>44077</v>
      </c>
      <c r="AS843" s="40" t="s">
        <v>1380</v>
      </c>
      <c r="AT843" s="41">
        <v>44077</v>
      </c>
      <c r="AU843" s="652" t="s">
        <v>37</v>
      </c>
    </row>
    <row r="844" spans="1:47" ht="78" thickBot="1" x14ac:dyDescent="0.3">
      <c r="A844" s="338"/>
      <c r="B844" s="338"/>
      <c r="C844" s="277"/>
      <c r="D844" s="565"/>
      <c r="E844" s="565"/>
      <c r="F844" s="277"/>
      <c r="G844" s="277"/>
      <c r="H844" s="276"/>
      <c r="I844" s="338"/>
      <c r="J844" s="531" t="s">
        <v>2156</v>
      </c>
      <c r="K844" s="396" t="s">
        <v>5148</v>
      </c>
      <c r="L844" s="265" t="s">
        <v>2156</v>
      </c>
      <c r="M844" s="265" t="s">
        <v>2156</v>
      </c>
      <c r="N844" s="109"/>
      <c r="O844" s="109" t="s">
        <v>5149</v>
      </c>
      <c r="P844" s="84" t="s">
        <v>5</v>
      </c>
      <c r="Q844" s="109" t="s">
        <v>1828</v>
      </c>
      <c r="R844" s="109" t="s">
        <v>1820</v>
      </c>
      <c r="S844" s="109"/>
      <c r="T844" s="343" t="s">
        <v>5150</v>
      </c>
      <c r="U844" s="31"/>
      <c r="V844" s="31"/>
      <c r="W844" s="31"/>
      <c r="X844" s="31"/>
      <c r="Y844" s="31"/>
      <c r="Z844" s="40"/>
      <c r="AA844" s="31"/>
      <c r="AB844" s="31"/>
      <c r="AC844" s="31"/>
      <c r="AD844" s="31"/>
      <c r="AE844" s="31"/>
      <c r="AF844" s="31"/>
      <c r="AG844" s="372"/>
      <c r="AH844" s="372"/>
      <c r="AI844" s="30"/>
      <c r="AJ844" s="31"/>
      <c r="AK844" s="31"/>
      <c r="AL844" s="372"/>
      <c r="AM844" s="372"/>
      <c r="AN844" s="30" t="s">
        <v>5151</v>
      </c>
      <c r="AO844" s="40" t="s">
        <v>5152</v>
      </c>
      <c r="AP844" s="40" t="s">
        <v>1807</v>
      </c>
      <c r="AQ844" s="40" t="s">
        <v>1380</v>
      </c>
      <c r="AR844" s="41">
        <v>44077</v>
      </c>
      <c r="AS844" s="40" t="s">
        <v>1380</v>
      </c>
      <c r="AT844" s="41">
        <v>44048</v>
      </c>
      <c r="AU844" s="652" t="s">
        <v>37</v>
      </c>
    </row>
    <row r="845" spans="1:47" ht="39.75" thickBot="1" x14ac:dyDescent="0.3">
      <c r="A845" s="339"/>
      <c r="B845" s="116"/>
      <c r="C845" s="95"/>
      <c r="D845" s="567"/>
      <c r="E845" s="567"/>
      <c r="F845" s="95"/>
      <c r="G845" s="95"/>
      <c r="H845" s="108"/>
      <c r="I845" s="122"/>
      <c r="J845" s="89">
        <v>1129</v>
      </c>
      <c r="K845" s="396" t="s">
        <v>1806</v>
      </c>
      <c r="L845" s="945">
        <v>1816337.4405</v>
      </c>
      <c r="M845" s="265">
        <v>5496769.0051999995</v>
      </c>
      <c r="N845" s="109"/>
      <c r="O845" s="109" t="s">
        <v>1805</v>
      </c>
      <c r="P845" s="84" t="s">
        <v>5</v>
      </c>
      <c r="Q845" s="109"/>
      <c r="R845" s="109"/>
      <c r="S845" s="109"/>
      <c r="T845" s="343" t="s">
        <v>1804</v>
      </c>
      <c r="U845" s="85" t="s">
        <v>16</v>
      </c>
      <c r="V845" s="86" t="s">
        <v>85</v>
      </c>
      <c r="W845" s="86" t="s">
        <v>85</v>
      </c>
      <c r="X845" s="86" t="s">
        <v>5</v>
      </c>
      <c r="Y845" s="86" t="s">
        <v>1803</v>
      </c>
      <c r="Z845" s="92" t="s">
        <v>1802</v>
      </c>
      <c r="AA845" s="86"/>
      <c r="AB845" s="106" t="s">
        <v>1801</v>
      </c>
      <c r="AC845" s="86"/>
      <c r="AD845" s="86">
        <v>10</v>
      </c>
      <c r="AE845" s="86">
        <v>12</v>
      </c>
      <c r="AF845" s="86"/>
      <c r="AG845" s="387"/>
      <c r="AH845" s="387"/>
      <c r="AI845" s="94"/>
      <c r="AJ845" s="86"/>
      <c r="AK845" s="86"/>
      <c r="AL845" s="387"/>
      <c r="AM845" s="387"/>
      <c r="AN845" s="94" t="s">
        <v>1800</v>
      </c>
      <c r="AO845" s="92" t="s">
        <v>1799</v>
      </c>
      <c r="AP845" s="92" t="s">
        <v>1798</v>
      </c>
      <c r="AQ845" s="92" t="s">
        <v>1380</v>
      </c>
      <c r="AR845" s="93">
        <v>44081</v>
      </c>
      <c r="AS845" s="92" t="s">
        <v>1380</v>
      </c>
      <c r="AT845" s="93">
        <v>44082</v>
      </c>
      <c r="AU845" s="1108" t="s">
        <v>37</v>
      </c>
    </row>
    <row r="846" spans="1:47" ht="78" thickBot="1" x14ac:dyDescent="0.3">
      <c r="A846" s="336"/>
      <c r="B846" s="196"/>
      <c r="C846" s="96"/>
      <c r="D846" s="566"/>
      <c r="E846" s="566"/>
      <c r="F846" s="96"/>
      <c r="G846" s="96"/>
      <c r="H846" s="107"/>
      <c r="I846" s="123"/>
      <c r="J846" s="190">
        <v>1130</v>
      </c>
      <c r="K846" s="357" t="s">
        <v>1797</v>
      </c>
      <c r="L846" s="968">
        <v>1816610.4582</v>
      </c>
      <c r="M846" s="912">
        <v>5497299.9057</v>
      </c>
      <c r="N846" s="107">
        <v>44</v>
      </c>
      <c r="O846" s="107" t="s">
        <v>1796</v>
      </c>
      <c r="P846" s="96" t="s">
        <v>5</v>
      </c>
      <c r="Q846" s="107"/>
      <c r="R846" s="107" t="s">
        <v>1795</v>
      </c>
      <c r="S846" s="107"/>
      <c r="T846" s="127" t="s">
        <v>1794</v>
      </c>
      <c r="U846" s="102" t="s">
        <v>16</v>
      </c>
      <c r="V846" s="24" t="s">
        <v>16</v>
      </c>
      <c r="W846" s="24" t="s">
        <v>16</v>
      </c>
      <c r="X846" s="24" t="s">
        <v>5</v>
      </c>
      <c r="Y846" s="24" t="s">
        <v>1793</v>
      </c>
      <c r="Z846" s="46" t="s">
        <v>1792</v>
      </c>
      <c r="AA846" s="24"/>
      <c r="AB846" s="615" t="s">
        <v>1791</v>
      </c>
      <c r="AC846" s="24"/>
      <c r="AD846" s="24">
        <v>7.5</v>
      </c>
      <c r="AE846" s="24">
        <v>7.65</v>
      </c>
      <c r="AF846" s="24"/>
      <c r="AG846" s="351"/>
      <c r="AH846" s="351"/>
      <c r="AI846" s="45" t="s">
        <v>549</v>
      </c>
      <c r="AJ846" s="24"/>
      <c r="AK846" s="24"/>
      <c r="AL846" s="351"/>
      <c r="AM846" s="351"/>
      <c r="AN846" s="45" t="s">
        <v>1790</v>
      </c>
      <c r="AO846" s="46" t="s">
        <v>1789</v>
      </c>
      <c r="AP846" s="46" t="s">
        <v>1788</v>
      </c>
      <c r="AQ846" s="46" t="s">
        <v>1380</v>
      </c>
      <c r="AR846" s="47">
        <v>44081</v>
      </c>
      <c r="AS846" s="46" t="s">
        <v>1380</v>
      </c>
      <c r="AT846" s="47">
        <v>44082</v>
      </c>
      <c r="AU846" s="1107" t="s">
        <v>37</v>
      </c>
    </row>
    <row r="847" spans="1:47" ht="64.5" x14ac:dyDescent="0.25">
      <c r="A847" s="807" t="s">
        <v>5877</v>
      </c>
      <c r="B847" s="349" t="s">
        <v>5877</v>
      </c>
      <c r="C847" s="157">
        <v>196</v>
      </c>
      <c r="D847" s="592" t="s">
        <v>57</v>
      </c>
      <c r="E847" s="592"/>
      <c r="F847" s="157" t="s">
        <v>4679</v>
      </c>
      <c r="G847" s="158" t="s">
        <v>1238</v>
      </c>
      <c r="H847" s="159" t="s">
        <v>5878</v>
      </c>
      <c r="I847" s="450" t="s">
        <v>6273</v>
      </c>
      <c r="J847" s="193">
        <v>889</v>
      </c>
      <c r="K847" s="433" t="s">
        <v>6283</v>
      </c>
      <c r="L847" s="924">
        <v>1898075.4158999999</v>
      </c>
      <c r="M847" s="924">
        <v>5778332.0421000002</v>
      </c>
      <c r="N847" s="159"/>
      <c r="O847" s="159">
        <v>0.06</v>
      </c>
      <c r="P847" s="157" t="s">
        <v>194</v>
      </c>
      <c r="Q847" s="159"/>
      <c r="R847" s="159"/>
      <c r="S847" s="159" t="s">
        <v>6155</v>
      </c>
      <c r="T847" s="480" t="s">
        <v>6157</v>
      </c>
      <c r="U847" s="169" t="s">
        <v>10</v>
      </c>
      <c r="V847" s="151" t="s">
        <v>16</v>
      </c>
      <c r="W847" s="151" t="s">
        <v>16</v>
      </c>
      <c r="X847" s="153" t="s">
        <v>194</v>
      </c>
      <c r="Y847" s="153" t="s">
        <v>6159</v>
      </c>
      <c r="Z847" s="152" t="s">
        <v>6161</v>
      </c>
      <c r="AA847" s="153">
        <v>1</v>
      </c>
      <c r="AB847" s="153" t="s">
        <v>6162</v>
      </c>
      <c r="AC847" s="151">
        <v>531</v>
      </c>
      <c r="AD847" s="151">
        <v>526</v>
      </c>
      <c r="AE847" s="151">
        <v>536</v>
      </c>
      <c r="AF847" s="151"/>
      <c r="AG847" s="151"/>
      <c r="AH847" s="151"/>
      <c r="AI847" s="203" t="s">
        <v>256</v>
      </c>
      <c r="AJ847" s="202"/>
      <c r="AK847" s="202"/>
      <c r="AL847" s="442"/>
      <c r="AM847" s="442"/>
      <c r="AN847" s="203" t="s">
        <v>6084</v>
      </c>
      <c r="AO847" s="203" t="s">
        <v>6285</v>
      </c>
      <c r="AP847" s="152" t="s">
        <v>6121</v>
      </c>
      <c r="AQ847" s="152" t="s">
        <v>37</v>
      </c>
      <c r="AR847" s="170">
        <v>44316</v>
      </c>
      <c r="AS847" s="152" t="s">
        <v>37</v>
      </c>
      <c r="AT847" s="361"/>
      <c r="AU847" s="1112"/>
    </row>
    <row r="848" spans="1:47" ht="39.75" thickBot="1" x14ac:dyDescent="0.3">
      <c r="A848" s="809"/>
      <c r="B848" s="174"/>
      <c r="C848" s="165"/>
      <c r="D848" s="574"/>
      <c r="E848" s="574"/>
      <c r="F848" s="165"/>
      <c r="G848" s="166"/>
      <c r="H848" s="167"/>
      <c r="I848" s="424"/>
      <c r="J848" s="195">
        <v>890</v>
      </c>
      <c r="K848" s="435" t="s">
        <v>6284</v>
      </c>
      <c r="L848" s="925">
        <v>1898168.7186</v>
      </c>
      <c r="M848" s="925">
        <v>5776343.5248999996</v>
      </c>
      <c r="N848" s="167"/>
      <c r="O848" s="167">
        <v>0.14000000000000001</v>
      </c>
      <c r="P848" s="165" t="s">
        <v>194</v>
      </c>
      <c r="Q848" s="167"/>
      <c r="R848" s="167"/>
      <c r="S848" s="167" t="s">
        <v>6156</v>
      </c>
      <c r="T848" s="200" t="s">
        <v>6158</v>
      </c>
      <c r="U848" s="171" t="s">
        <v>10</v>
      </c>
      <c r="V848" s="154" t="s">
        <v>16</v>
      </c>
      <c r="W848" s="154" t="s">
        <v>16</v>
      </c>
      <c r="X848" s="156" t="s">
        <v>194</v>
      </c>
      <c r="Y848" s="156" t="s">
        <v>6160</v>
      </c>
      <c r="Z848" s="155" t="s">
        <v>6161</v>
      </c>
      <c r="AA848" s="156">
        <v>1</v>
      </c>
      <c r="AB848" s="156" t="s">
        <v>6162</v>
      </c>
      <c r="AC848" s="154">
        <v>531</v>
      </c>
      <c r="AD848" s="154">
        <v>526</v>
      </c>
      <c r="AE848" s="154">
        <v>536</v>
      </c>
      <c r="AF848" s="154"/>
      <c r="AG848" s="154"/>
      <c r="AH848" s="154"/>
      <c r="AI848" s="183" t="s">
        <v>256</v>
      </c>
      <c r="AJ848" s="201"/>
      <c r="AK848" s="201"/>
      <c r="AL848" s="443"/>
      <c r="AM848" s="443"/>
      <c r="AN848" s="183" t="s">
        <v>6084</v>
      </c>
      <c r="AO848" s="183" t="s">
        <v>6285</v>
      </c>
      <c r="AP848" s="155" t="s">
        <v>6121</v>
      </c>
      <c r="AQ848" s="155" t="s">
        <v>37</v>
      </c>
      <c r="AR848" s="172">
        <v>44316</v>
      </c>
      <c r="AS848" s="155" t="s">
        <v>37</v>
      </c>
      <c r="AT848" s="362"/>
      <c r="AU848" s="1111"/>
    </row>
    <row r="849" spans="1:47" ht="26.25" x14ac:dyDescent="0.25">
      <c r="A849" s="487" t="s">
        <v>2768</v>
      </c>
      <c r="B849" s="128" t="s">
        <v>6834</v>
      </c>
      <c r="C849" s="72">
        <v>267</v>
      </c>
      <c r="D849" s="586" t="s">
        <v>57</v>
      </c>
      <c r="E849" s="586" t="s">
        <v>53</v>
      </c>
      <c r="F849" s="72" t="s">
        <v>2754</v>
      </c>
      <c r="G849" s="140" t="s">
        <v>6851</v>
      </c>
      <c r="H849" s="129" t="s">
        <v>5632</v>
      </c>
      <c r="I849" s="128" t="s">
        <v>150</v>
      </c>
      <c r="J849" s="187">
        <v>3013</v>
      </c>
      <c r="K849" s="73" t="s">
        <v>2769</v>
      </c>
      <c r="L849" s="914">
        <v>1951304.320302</v>
      </c>
      <c r="M849" s="914">
        <v>5784475.8766729999</v>
      </c>
      <c r="N849" s="129"/>
      <c r="O849" s="129" t="s">
        <v>2770</v>
      </c>
      <c r="P849" s="64" t="s">
        <v>2047</v>
      </c>
      <c r="Q849" s="129"/>
      <c r="R849" s="129"/>
      <c r="S849" s="129"/>
      <c r="T849" s="251" t="s">
        <v>2771</v>
      </c>
      <c r="U849" s="101" t="s">
        <v>16</v>
      </c>
      <c r="V849" s="31" t="s">
        <v>16</v>
      </c>
      <c r="W849" s="31" t="s">
        <v>16</v>
      </c>
      <c r="X849" s="97" t="s">
        <v>2761</v>
      </c>
      <c r="Y849" s="97" t="s">
        <v>2772</v>
      </c>
      <c r="Z849" s="40" t="s">
        <v>261</v>
      </c>
      <c r="AA849" s="97" t="s">
        <v>419</v>
      </c>
      <c r="AB849" s="31" t="s">
        <v>2773</v>
      </c>
      <c r="AC849" s="31">
        <v>23.8</v>
      </c>
      <c r="AD849" s="31">
        <v>17.600000000000001</v>
      </c>
      <c r="AE849" s="31">
        <v>30</v>
      </c>
      <c r="AF849" s="31"/>
      <c r="AG849" s="372"/>
      <c r="AH849" s="372"/>
      <c r="AI849" s="30" t="s">
        <v>1915</v>
      </c>
      <c r="AJ849" s="130"/>
      <c r="AK849" s="31"/>
      <c r="AL849" s="372"/>
      <c r="AM849" s="372"/>
      <c r="AN849" s="389" t="s">
        <v>2774</v>
      </c>
      <c r="AO849" s="30" t="s">
        <v>2713</v>
      </c>
      <c r="AP849" s="40" t="s">
        <v>2714</v>
      </c>
      <c r="AQ849" s="40" t="s">
        <v>2715</v>
      </c>
      <c r="AR849" s="41">
        <v>44065</v>
      </c>
      <c r="AS849" s="40" t="s">
        <v>2715</v>
      </c>
      <c r="AT849" s="41">
        <v>44111</v>
      </c>
      <c r="AU849" s="652" t="s">
        <v>37</v>
      </c>
    </row>
    <row r="850" spans="1:47" ht="51.75" x14ac:dyDescent="0.25">
      <c r="A850" s="488"/>
      <c r="B850" s="131"/>
      <c r="C850" s="568"/>
      <c r="D850" s="568"/>
      <c r="E850" s="568"/>
      <c r="F850" s="75"/>
      <c r="G850" s="568"/>
      <c r="H850" s="118"/>
      <c r="I850" s="131"/>
      <c r="J850" s="188">
        <v>3014</v>
      </c>
      <c r="K850" s="76" t="s">
        <v>2775</v>
      </c>
      <c r="L850" s="915">
        <v>1951435.7520020001</v>
      </c>
      <c r="M850" s="915">
        <v>5784092.5763729997</v>
      </c>
      <c r="N850" s="118"/>
      <c r="O850" s="312" t="s">
        <v>41</v>
      </c>
      <c r="P850" s="67"/>
      <c r="Q850" s="118"/>
      <c r="R850" s="118"/>
      <c r="S850" s="118"/>
      <c r="T850" s="312" t="s">
        <v>2776</v>
      </c>
      <c r="U850" s="102" t="s">
        <v>85</v>
      </c>
      <c r="V850" s="24" t="s">
        <v>16</v>
      </c>
      <c r="W850" s="24" t="s">
        <v>16</v>
      </c>
      <c r="X850" s="24" t="s">
        <v>5</v>
      </c>
      <c r="Y850" s="117" t="s">
        <v>2777</v>
      </c>
      <c r="Z850" s="46" t="s">
        <v>261</v>
      </c>
      <c r="AA850" s="24">
        <v>1</v>
      </c>
      <c r="AB850" s="24" t="s">
        <v>2773</v>
      </c>
      <c r="AC850" s="24">
        <v>23.8</v>
      </c>
      <c r="AD850" s="24">
        <v>17.600000000000001</v>
      </c>
      <c r="AE850" s="24">
        <v>30</v>
      </c>
      <c r="AF850" s="24"/>
      <c r="AG850" s="351"/>
      <c r="AH850" s="351"/>
      <c r="AI850" s="45" t="s">
        <v>1915</v>
      </c>
      <c r="AJ850" s="103"/>
      <c r="AK850" s="24"/>
      <c r="AL850" s="351"/>
      <c r="AM850" s="351"/>
      <c r="AN850" s="404" t="s">
        <v>2778</v>
      </c>
      <c r="AO850" s="45" t="s">
        <v>2713</v>
      </c>
      <c r="AP850" s="46" t="s">
        <v>2714</v>
      </c>
      <c r="AQ850" s="46" t="s">
        <v>2715</v>
      </c>
      <c r="AR850" s="47">
        <v>44065</v>
      </c>
      <c r="AS850" s="46" t="s">
        <v>2715</v>
      </c>
      <c r="AT850" s="47">
        <v>44111</v>
      </c>
      <c r="AU850" s="1107" t="s">
        <v>37</v>
      </c>
    </row>
    <row r="851" spans="1:47" ht="26.25" x14ac:dyDescent="0.25">
      <c r="A851" s="488"/>
      <c r="B851" s="131"/>
      <c r="C851" s="568"/>
      <c r="D851" s="568"/>
      <c r="E851" s="568"/>
      <c r="F851" s="75"/>
      <c r="G851" s="568"/>
      <c r="H851" s="118"/>
      <c r="I851" s="131"/>
      <c r="J851" s="188">
        <v>3015</v>
      </c>
      <c r="K851" s="76" t="s">
        <v>2779</v>
      </c>
      <c r="L851" s="915">
        <v>1951634.7802019999</v>
      </c>
      <c r="M851" s="915">
        <v>5783606.9650729997</v>
      </c>
      <c r="N851" s="118"/>
      <c r="O851" s="312" t="s">
        <v>2780</v>
      </c>
      <c r="P851" s="67" t="s">
        <v>2047</v>
      </c>
      <c r="Q851" s="118"/>
      <c r="R851" s="118"/>
      <c r="S851" s="118"/>
      <c r="T851" s="312" t="s">
        <v>2781</v>
      </c>
      <c r="U851" s="102" t="s">
        <v>16</v>
      </c>
      <c r="V851" s="24" t="s">
        <v>16</v>
      </c>
      <c r="W851" s="24" t="s">
        <v>16</v>
      </c>
      <c r="X851" s="117" t="s">
        <v>2761</v>
      </c>
      <c r="Y851" s="117" t="s">
        <v>2782</v>
      </c>
      <c r="Z851" s="46" t="s">
        <v>261</v>
      </c>
      <c r="AA851" s="117" t="s">
        <v>419</v>
      </c>
      <c r="AB851" s="24" t="s">
        <v>2773</v>
      </c>
      <c r="AC851" s="24">
        <v>23.8</v>
      </c>
      <c r="AD851" s="24">
        <v>17.600000000000001</v>
      </c>
      <c r="AE851" s="24">
        <v>30</v>
      </c>
      <c r="AF851" s="24"/>
      <c r="AG851" s="351"/>
      <c r="AH851" s="351"/>
      <c r="AI851" s="45" t="s">
        <v>1915</v>
      </c>
      <c r="AJ851" s="103"/>
      <c r="AK851" s="24"/>
      <c r="AL851" s="351"/>
      <c r="AM851" s="351"/>
      <c r="AN851" s="403" t="s">
        <v>2783</v>
      </c>
      <c r="AO851" s="45" t="s">
        <v>2713</v>
      </c>
      <c r="AP851" s="46" t="s">
        <v>2714</v>
      </c>
      <c r="AQ851" s="46" t="s">
        <v>2715</v>
      </c>
      <c r="AR851" s="47">
        <v>44065</v>
      </c>
      <c r="AS851" s="46" t="s">
        <v>2715</v>
      </c>
      <c r="AT851" s="47">
        <v>44111</v>
      </c>
      <c r="AU851" s="1107" t="s">
        <v>37</v>
      </c>
    </row>
    <row r="852" spans="1:47" ht="39" x14ac:dyDescent="0.25">
      <c r="A852" s="488"/>
      <c r="B852" s="131"/>
      <c r="C852" s="568"/>
      <c r="D852" s="568"/>
      <c r="E852" s="568"/>
      <c r="F852" s="75"/>
      <c r="G852" s="568"/>
      <c r="H852" s="118"/>
      <c r="I852" s="131"/>
      <c r="J852" s="188">
        <v>3016</v>
      </c>
      <c r="K852" s="76" t="s">
        <v>2784</v>
      </c>
      <c r="L852" s="915">
        <v>1951829.5816019999</v>
      </c>
      <c r="M852" s="915">
        <v>5782971.0637720004</v>
      </c>
      <c r="N852" s="118"/>
      <c r="O852" s="312" t="s">
        <v>41</v>
      </c>
      <c r="P852" s="67"/>
      <c r="Q852" s="118"/>
      <c r="R852" s="118"/>
      <c r="S852" s="118"/>
      <c r="T852" s="312" t="s">
        <v>2785</v>
      </c>
      <c r="U852" s="102" t="s">
        <v>85</v>
      </c>
      <c r="V852" s="24" t="s">
        <v>16</v>
      </c>
      <c r="W852" s="24" t="s">
        <v>16</v>
      </c>
      <c r="X852" s="24" t="s">
        <v>5</v>
      </c>
      <c r="Y852" s="117" t="s">
        <v>2786</v>
      </c>
      <c r="Z852" s="46" t="s">
        <v>261</v>
      </c>
      <c r="AA852" s="24">
        <v>1</v>
      </c>
      <c r="AB852" s="24" t="s">
        <v>2773</v>
      </c>
      <c r="AC852" s="24">
        <v>23.8</v>
      </c>
      <c r="AD852" s="24">
        <v>17.600000000000001</v>
      </c>
      <c r="AE852" s="24">
        <v>30</v>
      </c>
      <c r="AF852" s="24"/>
      <c r="AG852" s="351"/>
      <c r="AH852" s="351"/>
      <c r="AI852" s="45" t="s">
        <v>1915</v>
      </c>
      <c r="AJ852" s="103"/>
      <c r="AK852" s="24"/>
      <c r="AL852" s="351"/>
      <c r="AM852" s="351"/>
      <c r="AN852" s="404" t="s">
        <v>2787</v>
      </c>
      <c r="AO852" s="45" t="s">
        <v>2713</v>
      </c>
      <c r="AP852" s="46" t="s">
        <v>2714</v>
      </c>
      <c r="AQ852" s="46" t="s">
        <v>2715</v>
      </c>
      <c r="AR852" s="47">
        <v>44065</v>
      </c>
      <c r="AS852" s="46" t="s">
        <v>2715</v>
      </c>
      <c r="AT852" s="47">
        <v>44111</v>
      </c>
      <c r="AU852" s="1107" t="s">
        <v>37</v>
      </c>
    </row>
    <row r="853" spans="1:47" ht="26.25" x14ac:dyDescent="0.25">
      <c r="A853" s="488"/>
      <c r="B853" s="131"/>
      <c r="C853" s="568"/>
      <c r="D853" s="568"/>
      <c r="E853" s="568"/>
      <c r="F853" s="75"/>
      <c r="G853" s="568"/>
      <c r="H853" s="118"/>
      <c r="I853" s="131"/>
      <c r="J853" s="188">
        <v>3017</v>
      </c>
      <c r="K853" s="76" t="s">
        <v>2788</v>
      </c>
      <c r="L853" s="915">
        <v>1951951.5149020001</v>
      </c>
      <c r="M853" s="915">
        <v>5777351.4769710004</v>
      </c>
      <c r="N853" s="118"/>
      <c r="O853" s="312" t="s">
        <v>2735</v>
      </c>
      <c r="P853" s="67" t="s">
        <v>2047</v>
      </c>
      <c r="Q853" s="118"/>
      <c r="R853" s="118"/>
      <c r="S853" s="118"/>
      <c r="T853" s="312" t="s">
        <v>2736</v>
      </c>
      <c r="U853" s="102" t="s">
        <v>16</v>
      </c>
      <c r="V853" s="24" t="s">
        <v>16</v>
      </c>
      <c r="W853" s="24" t="s">
        <v>16</v>
      </c>
      <c r="X853" s="117" t="s">
        <v>61</v>
      </c>
      <c r="Y853" s="117" t="s">
        <v>2789</v>
      </c>
      <c r="Z853" s="46" t="s">
        <v>261</v>
      </c>
      <c r="AA853" s="117" t="s">
        <v>419</v>
      </c>
      <c r="AB853" s="24" t="s">
        <v>2773</v>
      </c>
      <c r="AC853" s="24">
        <v>23.8</v>
      </c>
      <c r="AD853" s="24">
        <v>17.600000000000001</v>
      </c>
      <c r="AE853" s="24">
        <v>30</v>
      </c>
      <c r="AF853" s="24"/>
      <c r="AG853" s="351"/>
      <c r="AH853" s="351"/>
      <c r="AI853" s="45" t="s">
        <v>1915</v>
      </c>
      <c r="AJ853" s="103"/>
      <c r="AK853" s="24"/>
      <c r="AL853" s="351"/>
      <c r="AM853" s="351"/>
      <c r="AN853" s="404" t="s">
        <v>2790</v>
      </c>
      <c r="AO853" s="45" t="s">
        <v>2713</v>
      </c>
      <c r="AP853" s="46" t="s">
        <v>2714</v>
      </c>
      <c r="AQ853" s="46" t="s">
        <v>2715</v>
      </c>
      <c r="AR853" s="47">
        <v>44065</v>
      </c>
      <c r="AS853" s="46" t="s">
        <v>2715</v>
      </c>
      <c r="AT853" s="47">
        <v>44111</v>
      </c>
      <c r="AU853" s="1107" t="s">
        <v>37</v>
      </c>
    </row>
    <row r="854" spans="1:47" ht="51.75" x14ac:dyDescent="0.25">
      <c r="A854" s="488"/>
      <c r="B854" s="131"/>
      <c r="C854" s="568"/>
      <c r="D854" s="568"/>
      <c r="E854" s="568"/>
      <c r="F854" s="75"/>
      <c r="G854" s="568"/>
      <c r="H854" s="118"/>
      <c r="I854" s="131"/>
      <c r="J854" s="188">
        <v>3018</v>
      </c>
      <c r="K854" s="76" t="s">
        <v>2791</v>
      </c>
      <c r="L854" s="915">
        <v>1951881.089501</v>
      </c>
      <c r="M854" s="915">
        <v>5771257.8555690004</v>
      </c>
      <c r="N854" s="118"/>
      <c r="O854" s="312" t="s">
        <v>1889</v>
      </c>
      <c r="P854" s="67" t="s">
        <v>2047</v>
      </c>
      <c r="Q854" s="118"/>
      <c r="R854" s="118"/>
      <c r="S854" s="118"/>
      <c r="T854" s="118" t="s">
        <v>1889</v>
      </c>
      <c r="U854" s="102" t="s">
        <v>85</v>
      </c>
      <c r="V854" s="24" t="s">
        <v>85</v>
      </c>
      <c r="W854" s="24" t="s">
        <v>85</v>
      </c>
      <c r="X854" s="24" t="s">
        <v>194</v>
      </c>
      <c r="Y854" s="117" t="s">
        <v>2792</v>
      </c>
      <c r="Z854" s="46" t="s">
        <v>2727</v>
      </c>
      <c r="AA854" s="24">
        <v>1</v>
      </c>
      <c r="AB854" s="24" t="s">
        <v>2793</v>
      </c>
      <c r="AC854" s="24">
        <v>30</v>
      </c>
      <c r="AD854" s="24"/>
      <c r="AE854" s="24"/>
      <c r="AF854" s="24"/>
      <c r="AG854" s="351"/>
      <c r="AH854" s="351"/>
      <c r="AI854" s="45" t="s">
        <v>2722</v>
      </c>
      <c r="AJ854" s="103"/>
      <c r="AK854" s="24"/>
      <c r="AL854" s="351"/>
      <c r="AM854" s="351"/>
      <c r="AN854" s="404" t="s">
        <v>2794</v>
      </c>
      <c r="AO854" s="45" t="s">
        <v>2795</v>
      </c>
      <c r="AP854" s="46" t="s">
        <v>2714</v>
      </c>
      <c r="AQ854" s="46" t="s">
        <v>2715</v>
      </c>
      <c r="AR854" s="47">
        <v>44065</v>
      </c>
      <c r="AS854" s="46" t="s">
        <v>2715</v>
      </c>
      <c r="AT854" s="47">
        <v>44111</v>
      </c>
      <c r="AU854" s="1107" t="s">
        <v>37</v>
      </c>
    </row>
    <row r="855" spans="1:47" ht="51.75" x14ac:dyDescent="0.25">
      <c r="A855" s="488"/>
      <c r="B855" s="131"/>
      <c r="C855" s="568"/>
      <c r="D855" s="568"/>
      <c r="E855" s="568"/>
      <c r="F855" s="75"/>
      <c r="G855" s="568"/>
      <c r="H855" s="118"/>
      <c r="I855" s="131"/>
      <c r="J855" s="188">
        <v>3019</v>
      </c>
      <c r="K855" s="76" t="s">
        <v>2796</v>
      </c>
      <c r="L855" s="915">
        <v>1951457.4343010001</v>
      </c>
      <c r="M855" s="915">
        <v>5768385.8599340003</v>
      </c>
      <c r="N855" s="118"/>
      <c r="O855" s="312" t="s">
        <v>1662</v>
      </c>
      <c r="P855" s="67" t="s">
        <v>2047</v>
      </c>
      <c r="Q855" s="118"/>
      <c r="R855" s="118"/>
      <c r="S855" s="118"/>
      <c r="T855" s="118" t="s">
        <v>1662</v>
      </c>
      <c r="U855" s="102" t="s">
        <v>85</v>
      </c>
      <c r="V855" s="24" t="s">
        <v>85</v>
      </c>
      <c r="W855" s="24" t="s">
        <v>85</v>
      </c>
      <c r="X855" s="117" t="s">
        <v>2761</v>
      </c>
      <c r="Y855" s="117" t="s">
        <v>2797</v>
      </c>
      <c r="Z855" s="46" t="s">
        <v>261</v>
      </c>
      <c r="AA855" s="117" t="s">
        <v>419</v>
      </c>
      <c r="AB855" s="24" t="s">
        <v>2798</v>
      </c>
      <c r="AC855" s="24">
        <v>21.3</v>
      </c>
      <c r="AD855" s="24">
        <v>17.600000000000001</v>
      </c>
      <c r="AE855" s="24">
        <v>25</v>
      </c>
      <c r="AF855" s="24"/>
      <c r="AG855" s="351"/>
      <c r="AH855" s="351"/>
      <c r="AI855" s="45" t="s">
        <v>1915</v>
      </c>
      <c r="AJ855" s="103"/>
      <c r="AK855" s="24"/>
      <c r="AL855" s="351"/>
      <c r="AM855" s="351"/>
      <c r="AN855" s="404" t="s">
        <v>2799</v>
      </c>
      <c r="AO855" s="45" t="s">
        <v>2713</v>
      </c>
      <c r="AP855" s="46" t="s">
        <v>2714</v>
      </c>
      <c r="AQ855" s="46" t="s">
        <v>2715</v>
      </c>
      <c r="AR855" s="47">
        <v>44065</v>
      </c>
      <c r="AS855" s="46" t="s">
        <v>2715</v>
      </c>
      <c r="AT855" s="47">
        <v>44111</v>
      </c>
      <c r="AU855" s="1107" t="s">
        <v>37</v>
      </c>
    </row>
    <row r="856" spans="1:47" ht="51.75" x14ac:dyDescent="0.25">
      <c r="A856" s="488"/>
      <c r="B856" s="131"/>
      <c r="C856" s="568"/>
      <c r="D856" s="568"/>
      <c r="E856" s="568"/>
      <c r="F856" s="75"/>
      <c r="G856" s="568"/>
      <c r="H856" s="118"/>
      <c r="I856" s="131"/>
      <c r="J856" s="188">
        <v>3020</v>
      </c>
      <c r="K856" s="76" t="s">
        <v>2800</v>
      </c>
      <c r="L856" s="915">
        <v>1950424.9998010001</v>
      </c>
      <c r="M856" s="915">
        <v>5756363.7561649997</v>
      </c>
      <c r="N856" s="118"/>
      <c r="O856" s="312" t="s">
        <v>41</v>
      </c>
      <c r="P856" s="67"/>
      <c r="Q856" s="118"/>
      <c r="R856" s="118"/>
      <c r="S856" s="118"/>
      <c r="T856" s="118" t="s">
        <v>2801</v>
      </c>
      <c r="U856" s="102" t="s">
        <v>85</v>
      </c>
      <c r="V856" s="24" t="s">
        <v>85</v>
      </c>
      <c r="W856" s="24" t="s">
        <v>85</v>
      </c>
      <c r="X856" s="117" t="s">
        <v>61</v>
      </c>
      <c r="Y856" s="117" t="s">
        <v>2802</v>
      </c>
      <c r="Z856" s="46" t="s">
        <v>2803</v>
      </c>
      <c r="AA856" s="117" t="s">
        <v>419</v>
      </c>
      <c r="AB856" s="24" t="s">
        <v>2804</v>
      </c>
      <c r="AC856" s="24">
        <v>3.5</v>
      </c>
      <c r="AD856" s="24">
        <v>3.5</v>
      </c>
      <c r="AE856" s="24"/>
      <c r="AF856" s="24"/>
      <c r="AG856" s="351"/>
      <c r="AH856" s="351"/>
      <c r="AI856" s="45" t="s">
        <v>1915</v>
      </c>
      <c r="AJ856" s="103"/>
      <c r="AK856" s="24"/>
      <c r="AL856" s="351"/>
      <c r="AM856" s="351"/>
      <c r="AN856" s="404" t="s">
        <v>2805</v>
      </c>
      <c r="AO856" s="45" t="s">
        <v>2806</v>
      </c>
      <c r="AP856" s="46" t="s">
        <v>2714</v>
      </c>
      <c r="AQ856" s="46" t="s">
        <v>2715</v>
      </c>
      <c r="AR856" s="47">
        <v>44067</v>
      </c>
      <c r="AS856" s="46" t="s">
        <v>2715</v>
      </c>
      <c r="AT856" s="47">
        <v>44111</v>
      </c>
      <c r="AU856" s="1107" t="s">
        <v>37</v>
      </c>
    </row>
    <row r="857" spans="1:47" ht="78" thickBot="1" x14ac:dyDescent="0.3">
      <c r="A857" s="489"/>
      <c r="B857" s="133"/>
      <c r="C857" s="78"/>
      <c r="D857" s="569"/>
      <c r="E857" s="569"/>
      <c r="F857" s="78"/>
      <c r="G857" s="78"/>
      <c r="H857" s="119"/>
      <c r="I857" s="133"/>
      <c r="J857" s="192">
        <v>3032</v>
      </c>
      <c r="K857" s="79" t="s">
        <v>2870</v>
      </c>
      <c r="L857" s="916">
        <v>1950252.657804</v>
      </c>
      <c r="M857" s="916">
        <v>5757844.4276980003</v>
      </c>
      <c r="N857" s="119"/>
      <c r="O857" s="119" t="s">
        <v>2780</v>
      </c>
      <c r="P857" s="69" t="s">
        <v>2047</v>
      </c>
      <c r="Q857" s="119"/>
      <c r="R857" s="119"/>
      <c r="S857" s="119"/>
      <c r="T857" s="233" t="s">
        <v>2871</v>
      </c>
      <c r="U857" s="104" t="s">
        <v>85</v>
      </c>
      <c r="V857" s="25" t="s">
        <v>85</v>
      </c>
      <c r="W857" s="25" t="s">
        <v>85</v>
      </c>
      <c r="X857" s="25" t="s">
        <v>194</v>
      </c>
      <c r="Y857" s="120" t="s">
        <v>2872</v>
      </c>
      <c r="Z857" s="52" t="s">
        <v>2873</v>
      </c>
      <c r="AA857" s="25">
        <v>1</v>
      </c>
      <c r="AB857" s="25" t="s">
        <v>2874</v>
      </c>
      <c r="AC857" s="25">
        <v>0.8</v>
      </c>
      <c r="AD857" s="25"/>
      <c r="AE857" s="25"/>
      <c r="AF857" s="25"/>
      <c r="AG857" s="386"/>
      <c r="AH857" s="386"/>
      <c r="AI857" s="51" t="s">
        <v>549</v>
      </c>
      <c r="AJ857" s="105"/>
      <c r="AK857" s="25"/>
      <c r="AL857" s="386"/>
      <c r="AM857" s="386"/>
      <c r="AN857" s="391" t="s">
        <v>2875</v>
      </c>
      <c r="AO857" s="51" t="s">
        <v>2876</v>
      </c>
      <c r="AP857" s="52" t="s">
        <v>2869</v>
      </c>
      <c r="AQ857" s="52" t="s">
        <v>2715</v>
      </c>
      <c r="AR857" s="53">
        <v>44068</v>
      </c>
      <c r="AS857" s="52" t="s">
        <v>2715</v>
      </c>
      <c r="AT857" s="53">
        <v>44111</v>
      </c>
      <c r="AU857" s="653" t="s">
        <v>37</v>
      </c>
    </row>
    <row r="858" spans="1:47" ht="51.75" x14ac:dyDescent="0.25">
      <c r="A858" s="341" t="s">
        <v>2768</v>
      </c>
      <c r="B858" s="181" t="s">
        <v>6835</v>
      </c>
      <c r="C858" s="125">
        <v>268</v>
      </c>
      <c r="D858" s="585" t="s">
        <v>53</v>
      </c>
      <c r="E858" s="585"/>
      <c r="F858" s="125" t="s">
        <v>2807</v>
      </c>
      <c r="G858" s="145" t="s">
        <v>3061</v>
      </c>
      <c r="H858" s="126" t="s">
        <v>5632</v>
      </c>
      <c r="I858" s="181" t="s">
        <v>5634</v>
      </c>
      <c r="J858" s="189">
        <v>3021</v>
      </c>
      <c r="K858" s="355" t="s">
        <v>2808</v>
      </c>
      <c r="L858" s="911">
        <v>1945582.2102049999</v>
      </c>
      <c r="M858" s="911">
        <v>5718690.9683379997</v>
      </c>
      <c r="N858" s="126"/>
      <c r="O858" s="255" t="s">
        <v>2809</v>
      </c>
      <c r="P858" s="254" t="s">
        <v>2047</v>
      </c>
      <c r="Q858" s="126"/>
      <c r="R858" s="126"/>
      <c r="S858" s="126"/>
      <c r="T858" s="289" t="s">
        <v>2810</v>
      </c>
      <c r="U858" s="101" t="s">
        <v>16</v>
      </c>
      <c r="V858" s="31" t="s">
        <v>16</v>
      </c>
      <c r="W858" s="31" t="s">
        <v>16</v>
      </c>
      <c r="X858" s="97" t="s">
        <v>61</v>
      </c>
      <c r="Y858" s="97" t="s">
        <v>2811</v>
      </c>
      <c r="Z858" s="40" t="s">
        <v>2720</v>
      </c>
      <c r="AA858" s="97" t="s">
        <v>419</v>
      </c>
      <c r="AB858" s="31" t="s">
        <v>2812</v>
      </c>
      <c r="AC858" s="31">
        <v>7.75</v>
      </c>
      <c r="AD858" s="31">
        <v>6</v>
      </c>
      <c r="AE858" s="31">
        <v>9.5</v>
      </c>
      <c r="AF858" s="31"/>
      <c r="AG858" s="372"/>
      <c r="AH858" s="372"/>
      <c r="AI858" s="30" t="s">
        <v>2722</v>
      </c>
      <c r="AJ858" s="130"/>
      <c r="AK858" s="31"/>
      <c r="AL858" s="372"/>
      <c r="AM858" s="372"/>
      <c r="AN858" s="389" t="s">
        <v>2813</v>
      </c>
      <c r="AO858" s="30" t="s">
        <v>2814</v>
      </c>
      <c r="AP858" s="40" t="s">
        <v>2714</v>
      </c>
      <c r="AQ858" s="40" t="s">
        <v>2715</v>
      </c>
      <c r="AR858" s="41">
        <v>44067</v>
      </c>
      <c r="AS858" s="40" t="s">
        <v>2715</v>
      </c>
      <c r="AT858" s="41">
        <v>44111</v>
      </c>
      <c r="AU858" s="652" t="s">
        <v>37</v>
      </c>
    </row>
    <row r="859" spans="1:47" ht="26.25" x14ac:dyDescent="0.25">
      <c r="A859" s="339"/>
      <c r="B859" s="338"/>
      <c r="C859" s="565"/>
      <c r="D859" s="565"/>
      <c r="E859" s="565"/>
      <c r="F859" s="277"/>
      <c r="G859" s="565"/>
      <c r="H859" s="276"/>
      <c r="I859" s="122"/>
      <c r="J859" s="191">
        <v>3022</v>
      </c>
      <c r="K859" s="356" t="s">
        <v>2815</v>
      </c>
      <c r="L859" s="938">
        <v>1945482.0940050001</v>
      </c>
      <c r="M859" s="938">
        <v>5718690.8677380001</v>
      </c>
      <c r="N859" s="276"/>
      <c r="O859" s="275" t="s">
        <v>2809</v>
      </c>
      <c r="P859" s="320" t="s">
        <v>2047</v>
      </c>
      <c r="Q859" s="276"/>
      <c r="R859" s="276"/>
      <c r="S859" s="276"/>
      <c r="T859" s="283" t="s">
        <v>2810</v>
      </c>
      <c r="U859" s="102" t="s">
        <v>16</v>
      </c>
      <c r="V859" s="2" t="s">
        <v>16</v>
      </c>
      <c r="W859" s="2" t="s">
        <v>16</v>
      </c>
      <c r="X859" s="185" t="s">
        <v>61</v>
      </c>
      <c r="Y859" s="185" t="s">
        <v>2816</v>
      </c>
      <c r="Z859" s="3" t="s">
        <v>798</v>
      </c>
      <c r="AA859" s="185" t="s">
        <v>419</v>
      </c>
      <c r="AB859" s="2" t="s">
        <v>2812</v>
      </c>
      <c r="AC859" s="2">
        <v>7.75</v>
      </c>
      <c r="AD859" s="2">
        <v>6</v>
      </c>
      <c r="AE859" s="2">
        <v>9.5</v>
      </c>
      <c r="AI859" s="16" t="s">
        <v>2722</v>
      </c>
      <c r="AK859" s="2"/>
      <c r="AN859" s="280" t="s">
        <v>2712</v>
      </c>
      <c r="AO859" s="16" t="s">
        <v>2814</v>
      </c>
      <c r="AP859" s="3" t="s">
        <v>2714</v>
      </c>
      <c r="AQ859" s="3" t="s">
        <v>2715</v>
      </c>
      <c r="AR859" s="186">
        <v>44067</v>
      </c>
      <c r="AS859" s="3" t="s">
        <v>2715</v>
      </c>
      <c r="AT859" s="186">
        <v>44111</v>
      </c>
      <c r="AU859" s="1107" t="s">
        <v>37</v>
      </c>
    </row>
    <row r="860" spans="1:47" ht="27" thickBot="1" x14ac:dyDescent="0.3">
      <c r="A860" s="336"/>
      <c r="B860" s="196"/>
      <c r="C860" s="566"/>
      <c r="D860" s="566"/>
      <c r="E860" s="566"/>
      <c r="F860" s="96"/>
      <c r="G860" s="566"/>
      <c r="H860" s="107"/>
      <c r="I860" s="123"/>
      <c r="J860" s="190">
        <v>3023</v>
      </c>
      <c r="K860" s="357" t="s">
        <v>2817</v>
      </c>
      <c r="L860" s="912">
        <v>1945482.295901</v>
      </c>
      <c r="M860" s="912">
        <v>5718490.637255</v>
      </c>
      <c r="N860" s="107"/>
      <c r="O860" s="107" t="s">
        <v>2809</v>
      </c>
      <c r="P860" s="261" t="s">
        <v>2047</v>
      </c>
      <c r="Q860" s="107"/>
      <c r="R860" s="107"/>
      <c r="S860" s="107"/>
      <c r="T860" s="274" t="s">
        <v>2810</v>
      </c>
      <c r="U860" s="104" t="s">
        <v>16</v>
      </c>
      <c r="V860" s="25" t="s">
        <v>16</v>
      </c>
      <c r="W860" s="25" t="s">
        <v>16</v>
      </c>
      <c r="X860" s="120" t="s">
        <v>61</v>
      </c>
      <c r="Y860" s="120" t="s">
        <v>2816</v>
      </c>
      <c r="Z860" s="52" t="s">
        <v>798</v>
      </c>
      <c r="AA860" s="120" t="s">
        <v>419</v>
      </c>
      <c r="AB860" s="25" t="s">
        <v>2812</v>
      </c>
      <c r="AC860" s="25">
        <v>7.75</v>
      </c>
      <c r="AD860" s="25">
        <v>6</v>
      </c>
      <c r="AE860" s="25">
        <v>9.5</v>
      </c>
      <c r="AF860" s="25"/>
      <c r="AG860" s="386"/>
      <c r="AH860" s="386"/>
      <c r="AI860" s="51" t="s">
        <v>2722</v>
      </c>
      <c r="AJ860" s="105"/>
      <c r="AK860" s="25"/>
      <c r="AL860" s="386"/>
      <c r="AM860" s="386"/>
      <c r="AN860" s="271" t="s">
        <v>2818</v>
      </c>
      <c r="AO860" s="51" t="s">
        <v>2814</v>
      </c>
      <c r="AP860" s="52" t="s">
        <v>2714</v>
      </c>
      <c r="AQ860" s="52" t="s">
        <v>2715</v>
      </c>
      <c r="AR860" s="53">
        <v>44067</v>
      </c>
      <c r="AS860" s="52" t="s">
        <v>2715</v>
      </c>
      <c r="AT860" s="53">
        <v>44111</v>
      </c>
      <c r="AU860" s="653" t="s">
        <v>37</v>
      </c>
    </row>
    <row r="861" spans="1:47" ht="39.75" thickBot="1" x14ac:dyDescent="0.3">
      <c r="A861" s="648" t="s">
        <v>1841</v>
      </c>
      <c r="B861" s="598" t="s">
        <v>2240</v>
      </c>
      <c r="C861" s="248">
        <v>328</v>
      </c>
      <c r="D861" s="595" t="s">
        <v>52</v>
      </c>
      <c r="E861" s="595"/>
      <c r="F861" s="248" t="s">
        <v>840</v>
      </c>
      <c r="G861" s="248" t="s">
        <v>1263</v>
      </c>
      <c r="H861" s="426" t="s">
        <v>5574</v>
      </c>
      <c r="I861" s="634" t="s">
        <v>150</v>
      </c>
      <c r="J861" s="425">
        <v>1135</v>
      </c>
      <c r="K861" s="472" t="s">
        <v>1840</v>
      </c>
      <c r="L861" s="934">
        <v>1771823.2084999999</v>
      </c>
      <c r="M861" s="934">
        <v>5418347.5710000005</v>
      </c>
      <c r="N861" s="426"/>
      <c r="O861" s="426" t="s">
        <v>1839</v>
      </c>
      <c r="P861" s="426" t="s">
        <v>194</v>
      </c>
      <c r="Q861" s="426" t="s">
        <v>1838</v>
      </c>
      <c r="R861" s="426"/>
      <c r="S861" s="426"/>
      <c r="T861" s="481" t="s">
        <v>1837</v>
      </c>
      <c r="U861" s="85" t="s">
        <v>16</v>
      </c>
      <c r="V861" s="86" t="s">
        <v>16</v>
      </c>
      <c r="W861" s="86" t="s">
        <v>16</v>
      </c>
      <c r="X861" s="86" t="s">
        <v>194</v>
      </c>
      <c r="Y861" s="86" t="s">
        <v>1836</v>
      </c>
      <c r="Z861" s="92" t="s">
        <v>1537</v>
      </c>
      <c r="AA861" s="86"/>
      <c r="AB861" s="197" t="s">
        <v>1835</v>
      </c>
      <c r="AC861" s="86">
        <v>71</v>
      </c>
      <c r="AD861" s="86">
        <v>63</v>
      </c>
      <c r="AE861" s="86">
        <v>79</v>
      </c>
      <c r="AF861" s="86">
        <v>19.5</v>
      </c>
      <c r="AG861" s="387">
        <v>16.3</v>
      </c>
      <c r="AH861" s="387">
        <v>22.7</v>
      </c>
      <c r="AI861" s="94" t="s">
        <v>23</v>
      </c>
      <c r="AJ861" s="86"/>
      <c r="AK861" s="86"/>
      <c r="AL861" s="387"/>
      <c r="AM861" s="387"/>
      <c r="AN861" s="94" t="s">
        <v>1834</v>
      </c>
      <c r="AO861" s="92" t="s">
        <v>1833</v>
      </c>
      <c r="AP861" s="92" t="s">
        <v>1832</v>
      </c>
      <c r="AQ861" s="92" t="s">
        <v>1380</v>
      </c>
      <c r="AR861" s="93">
        <v>44082</v>
      </c>
      <c r="AS861" s="92" t="s">
        <v>1380</v>
      </c>
      <c r="AT861" s="93">
        <v>44088</v>
      </c>
      <c r="AU861" s="1108" t="s">
        <v>37</v>
      </c>
    </row>
    <row r="862" spans="1:47" ht="64.5" x14ac:dyDescent="0.25">
      <c r="A862" s="487" t="s">
        <v>1213</v>
      </c>
      <c r="B862" s="128" t="s">
        <v>4997</v>
      </c>
      <c r="C862" s="129">
        <v>212</v>
      </c>
      <c r="D862" s="586" t="s">
        <v>57</v>
      </c>
      <c r="E862" s="586"/>
      <c r="F862" s="72" t="s">
        <v>668</v>
      </c>
      <c r="G862" s="140" t="s">
        <v>1238</v>
      </c>
      <c r="H862" s="129" t="s">
        <v>5306</v>
      </c>
      <c r="I862" s="381" t="s">
        <v>5635</v>
      </c>
      <c r="J862" s="187">
        <v>217</v>
      </c>
      <c r="K862" s="73" t="s">
        <v>1214</v>
      </c>
      <c r="L862" s="914">
        <v>1882664.5919999999</v>
      </c>
      <c r="M862" s="914">
        <v>5754104.2037000004</v>
      </c>
      <c r="N862" s="129"/>
      <c r="O862" s="129" t="s">
        <v>41</v>
      </c>
      <c r="P862" s="72" t="s">
        <v>194</v>
      </c>
      <c r="Q862" s="1070"/>
      <c r="R862" s="1070"/>
      <c r="S862" s="1070"/>
      <c r="T862" s="266" t="s">
        <v>1225</v>
      </c>
      <c r="U862" s="31" t="s">
        <v>16</v>
      </c>
      <c r="V862" s="31" t="s">
        <v>16</v>
      </c>
      <c r="W862" s="31" t="s">
        <v>16</v>
      </c>
      <c r="X862" s="31" t="s">
        <v>194</v>
      </c>
      <c r="Y862" s="31" t="s">
        <v>1219</v>
      </c>
      <c r="Z862" s="40" t="s">
        <v>1179</v>
      </c>
      <c r="AA862" s="31">
        <v>1</v>
      </c>
      <c r="AB862" s="31">
        <v>240</v>
      </c>
      <c r="AC862" s="31"/>
      <c r="AD862" s="31"/>
      <c r="AE862" s="31"/>
      <c r="AF862" s="31"/>
      <c r="AG862" s="372"/>
      <c r="AH862" s="372"/>
      <c r="AI862" s="30" t="s">
        <v>256</v>
      </c>
      <c r="AJ862" s="130"/>
      <c r="AK862" s="130"/>
      <c r="AL862" s="372"/>
      <c r="AM862" s="372"/>
      <c r="AN862" s="40" t="s">
        <v>1223</v>
      </c>
      <c r="AO862" s="40" t="s">
        <v>1224</v>
      </c>
      <c r="AP862" s="40" t="s">
        <v>1212</v>
      </c>
      <c r="AQ862" s="40" t="s">
        <v>37</v>
      </c>
      <c r="AR862" s="41">
        <v>44095</v>
      </c>
      <c r="AS862" s="40" t="s">
        <v>37</v>
      </c>
      <c r="AT862" s="54"/>
      <c r="AU862" s="652"/>
    </row>
    <row r="863" spans="1:47" ht="65.25" thickBot="1" x14ac:dyDescent="0.3">
      <c r="A863" s="488"/>
      <c r="B863" s="131"/>
      <c r="C863" s="75"/>
      <c r="D863" s="568"/>
      <c r="E863" s="568"/>
      <c r="F863" s="75"/>
      <c r="G863" s="143"/>
      <c r="H863" s="118"/>
      <c r="I863" s="121"/>
      <c r="J863" s="188">
        <v>218</v>
      </c>
      <c r="K863" s="76" t="s">
        <v>1215</v>
      </c>
      <c r="L863" s="915">
        <v>1881606.6858999999</v>
      </c>
      <c r="M863" s="915">
        <v>5752927.9513999997</v>
      </c>
      <c r="N863" s="118"/>
      <c r="O863" s="118" t="s">
        <v>41</v>
      </c>
      <c r="P863" s="75" t="s">
        <v>194</v>
      </c>
      <c r="Q863" s="1071"/>
      <c r="R863" s="1071"/>
      <c r="S863" s="1071"/>
      <c r="T863" s="601" t="s">
        <v>1226</v>
      </c>
      <c r="U863" s="24" t="s">
        <v>16</v>
      </c>
      <c r="V863" s="24" t="s">
        <v>16</v>
      </c>
      <c r="W863" s="24" t="s">
        <v>16</v>
      </c>
      <c r="X863" s="24" t="s">
        <v>194</v>
      </c>
      <c r="Y863" s="24" t="s">
        <v>1220</v>
      </c>
      <c r="Z863" s="46" t="s">
        <v>1179</v>
      </c>
      <c r="AA863" s="24">
        <v>1</v>
      </c>
      <c r="AB863" s="24">
        <v>240</v>
      </c>
      <c r="AC863" s="24"/>
      <c r="AD863" s="24"/>
      <c r="AE863" s="24"/>
      <c r="AF863" s="24"/>
      <c r="AG863" s="351"/>
      <c r="AH863" s="351"/>
      <c r="AI863" s="45" t="s">
        <v>256</v>
      </c>
      <c r="AJ863" s="103"/>
      <c r="AK863" s="103"/>
      <c r="AL863" s="351"/>
      <c r="AM863" s="351"/>
      <c r="AN863" s="46" t="s">
        <v>1223</v>
      </c>
      <c r="AO863" s="46" t="s">
        <v>1224</v>
      </c>
      <c r="AP863" s="46" t="s">
        <v>1212</v>
      </c>
      <c r="AQ863" s="46" t="s">
        <v>37</v>
      </c>
      <c r="AR863" s="47">
        <v>44095</v>
      </c>
      <c r="AS863" s="46" t="s">
        <v>37</v>
      </c>
      <c r="AT863" s="365"/>
      <c r="AU863" s="1107"/>
    </row>
    <row r="864" spans="1:47" ht="65.25" thickBot="1" x14ac:dyDescent="0.3">
      <c r="A864" s="488"/>
      <c r="B864" s="131"/>
      <c r="C864" s="75"/>
      <c r="D864" s="568"/>
      <c r="E864" s="568"/>
      <c r="F864" s="75"/>
      <c r="G864" s="143"/>
      <c r="H864" s="118"/>
      <c r="I864" s="121"/>
      <c r="J864" s="87">
        <v>219</v>
      </c>
      <c r="K864" s="360" t="s">
        <v>1216</v>
      </c>
      <c r="L864" s="198">
        <v>1881361.3588</v>
      </c>
      <c r="M864" s="198">
        <v>5752393.5695000002</v>
      </c>
      <c r="N864" s="199"/>
      <c r="O864" s="199" t="s">
        <v>41</v>
      </c>
      <c r="P864" s="83" t="s">
        <v>194</v>
      </c>
      <c r="Q864" s="1088"/>
      <c r="R864" s="1088"/>
      <c r="S864" s="1088"/>
      <c r="T864" s="332" t="s">
        <v>1227</v>
      </c>
      <c r="U864" s="86" t="s">
        <v>16</v>
      </c>
      <c r="V864" s="86" t="s">
        <v>16</v>
      </c>
      <c r="W864" s="86" t="s">
        <v>16</v>
      </c>
      <c r="X864" s="86" t="s">
        <v>194</v>
      </c>
      <c r="Y864" s="86" t="s">
        <v>1221</v>
      </c>
      <c r="Z864" s="92" t="s">
        <v>1179</v>
      </c>
      <c r="AA864" s="86">
        <v>1</v>
      </c>
      <c r="AB864" s="86">
        <v>240</v>
      </c>
      <c r="AC864" s="86"/>
      <c r="AD864" s="86"/>
      <c r="AE864" s="86"/>
      <c r="AF864" s="86"/>
      <c r="AG864" s="387"/>
      <c r="AH864" s="387"/>
      <c r="AI864" s="94" t="s">
        <v>256</v>
      </c>
      <c r="AJ864" s="106"/>
      <c r="AK864" s="106"/>
      <c r="AL864" s="387"/>
      <c r="AM864" s="387"/>
      <c r="AN864" s="92" t="s">
        <v>1223</v>
      </c>
      <c r="AO864" s="92" t="s">
        <v>1224</v>
      </c>
      <c r="AP864" s="92" t="s">
        <v>1212</v>
      </c>
      <c r="AQ864" s="92" t="s">
        <v>37</v>
      </c>
      <c r="AR864" s="93">
        <v>44095</v>
      </c>
      <c r="AS864" s="92" t="s">
        <v>37</v>
      </c>
      <c r="AT864" s="368"/>
      <c r="AU864" s="1108"/>
    </row>
    <row r="865" spans="1:47" ht="65.25" thickBot="1" x14ac:dyDescent="0.3">
      <c r="A865" s="488"/>
      <c r="B865" s="131"/>
      <c r="C865" s="75"/>
      <c r="D865" s="568"/>
      <c r="E865" s="568"/>
      <c r="F865" s="75"/>
      <c r="G865" s="143"/>
      <c r="H865" s="118"/>
      <c r="I865" s="121"/>
      <c r="J865" s="188">
        <v>220</v>
      </c>
      <c r="K865" s="76" t="s">
        <v>1217</v>
      </c>
      <c r="L865" s="915">
        <v>1880237.5389</v>
      </c>
      <c r="M865" s="915">
        <v>5750343.0444999998</v>
      </c>
      <c r="N865" s="118"/>
      <c r="O865" s="118" t="s">
        <v>41</v>
      </c>
      <c r="P865" s="75" t="s">
        <v>194</v>
      </c>
      <c r="Q865" s="1071"/>
      <c r="R865" s="1071"/>
      <c r="S865" s="1071"/>
      <c r="T865" s="601" t="s">
        <v>1228</v>
      </c>
      <c r="U865" s="24" t="s">
        <v>16</v>
      </c>
      <c r="V865" s="24" t="s">
        <v>16</v>
      </c>
      <c r="W865" s="24" t="s">
        <v>16</v>
      </c>
      <c r="X865" s="24" t="s">
        <v>194</v>
      </c>
      <c r="Y865" s="24" t="s">
        <v>1222</v>
      </c>
      <c r="Z865" s="46" t="s">
        <v>1179</v>
      </c>
      <c r="AA865" s="24">
        <v>1</v>
      </c>
      <c r="AB865" s="24">
        <v>240</v>
      </c>
      <c r="AC865" s="24"/>
      <c r="AD865" s="24"/>
      <c r="AE865" s="24"/>
      <c r="AF865" s="24"/>
      <c r="AG865" s="351"/>
      <c r="AH865" s="351"/>
      <c r="AI865" s="45" t="s">
        <v>256</v>
      </c>
      <c r="AJ865" s="103"/>
      <c r="AK865" s="103"/>
      <c r="AL865" s="351"/>
      <c r="AM865" s="351"/>
      <c r="AN865" s="46" t="s">
        <v>1223</v>
      </c>
      <c r="AO865" s="46" t="s">
        <v>1224</v>
      </c>
      <c r="AP865" s="46" t="s">
        <v>1212</v>
      </c>
      <c r="AQ865" s="46" t="s">
        <v>37</v>
      </c>
      <c r="AR865" s="47">
        <v>44095</v>
      </c>
      <c r="AS865" s="46" t="s">
        <v>37</v>
      </c>
      <c r="AT865" s="365"/>
      <c r="AU865" s="1107"/>
    </row>
    <row r="866" spans="1:47" ht="65.25" thickBot="1" x14ac:dyDescent="0.3">
      <c r="A866" s="488"/>
      <c r="B866" s="131"/>
      <c r="C866" s="75"/>
      <c r="D866" s="568"/>
      <c r="E866" s="568"/>
      <c r="F866" s="75"/>
      <c r="G866" s="143"/>
      <c r="H866" s="118"/>
      <c r="I866" s="121"/>
      <c r="J866" s="187">
        <v>221</v>
      </c>
      <c r="K866" s="73" t="s">
        <v>1218</v>
      </c>
      <c r="L866" s="914">
        <v>1879681.9128</v>
      </c>
      <c r="M866" s="914">
        <v>5749517.5428999998</v>
      </c>
      <c r="N866" s="129"/>
      <c r="O866" s="129" t="s">
        <v>41</v>
      </c>
      <c r="P866" s="72" t="s">
        <v>194</v>
      </c>
      <c r="Q866" s="1070"/>
      <c r="R866" s="1070"/>
      <c r="S866" s="1070"/>
      <c r="T866" s="266" t="s">
        <v>1229</v>
      </c>
      <c r="U866" s="86" t="s">
        <v>16</v>
      </c>
      <c r="V866" s="86" t="s">
        <v>16</v>
      </c>
      <c r="W866" s="86" t="s">
        <v>16</v>
      </c>
      <c r="X866" s="86" t="s">
        <v>194</v>
      </c>
      <c r="Y866" s="86" t="s">
        <v>152</v>
      </c>
      <c r="Z866" s="92" t="s">
        <v>1179</v>
      </c>
      <c r="AA866" s="86">
        <v>1</v>
      </c>
      <c r="AB866" s="86">
        <v>240</v>
      </c>
      <c r="AC866" s="86"/>
      <c r="AD866" s="86"/>
      <c r="AE866" s="86"/>
      <c r="AF866" s="86"/>
      <c r="AG866" s="387"/>
      <c r="AH866" s="387"/>
      <c r="AI866" s="94" t="s">
        <v>256</v>
      </c>
      <c r="AJ866" s="106"/>
      <c r="AK866" s="106"/>
      <c r="AL866" s="387"/>
      <c r="AM866" s="387"/>
      <c r="AN866" s="92" t="s">
        <v>1223</v>
      </c>
      <c r="AO866" s="92" t="s">
        <v>1224</v>
      </c>
      <c r="AP866" s="92" t="s">
        <v>1212</v>
      </c>
      <c r="AQ866" s="92" t="s">
        <v>37</v>
      </c>
      <c r="AR866" s="93">
        <v>44095</v>
      </c>
      <c r="AS866" s="92" t="s">
        <v>37</v>
      </c>
      <c r="AT866" s="368"/>
      <c r="AU866" s="1108"/>
    </row>
    <row r="867" spans="1:47" ht="26.25" x14ac:dyDescent="0.25">
      <c r="A867" s="488"/>
      <c r="B867" s="131"/>
      <c r="C867" s="75"/>
      <c r="D867" s="568"/>
      <c r="E867" s="568"/>
      <c r="F867" s="75"/>
      <c r="G867" s="143"/>
      <c r="H867" s="118"/>
      <c r="I867" s="131"/>
      <c r="J867" s="187">
        <v>222</v>
      </c>
      <c r="K867" s="73" t="s">
        <v>1230</v>
      </c>
      <c r="L867" s="914">
        <v>1882036.8352000001</v>
      </c>
      <c r="M867" s="914">
        <v>5753439.7593999999</v>
      </c>
      <c r="N867" s="129"/>
      <c r="O867" s="129" t="s">
        <v>406</v>
      </c>
      <c r="P867" s="72" t="s">
        <v>193</v>
      </c>
      <c r="Q867" s="129"/>
      <c r="R867" s="129"/>
      <c r="S867" s="129"/>
      <c r="T867" s="266" t="s">
        <v>2671</v>
      </c>
      <c r="U867" s="31" t="s">
        <v>16</v>
      </c>
      <c r="V867" s="31" t="s">
        <v>16</v>
      </c>
      <c r="W867" s="31" t="s">
        <v>16</v>
      </c>
      <c r="X867" s="31" t="s">
        <v>193</v>
      </c>
      <c r="Y867" s="31" t="s">
        <v>41</v>
      </c>
      <c r="Z867" s="40" t="s">
        <v>1239</v>
      </c>
      <c r="AA867" s="31">
        <v>1</v>
      </c>
      <c r="AB867" s="31" t="s">
        <v>1240</v>
      </c>
      <c r="AC867" s="31">
        <v>21.3</v>
      </c>
      <c r="AD867" s="31"/>
      <c r="AE867" s="31"/>
      <c r="AF867" s="31">
        <v>10</v>
      </c>
      <c r="AG867" s="372"/>
      <c r="AH867" s="372"/>
      <c r="AI867" s="30" t="s">
        <v>256</v>
      </c>
      <c r="AJ867" s="130"/>
      <c r="AK867" s="130"/>
      <c r="AL867" s="372"/>
      <c r="AM867" s="372"/>
      <c r="AN867" s="40" t="s">
        <v>1245</v>
      </c>
      <c r="AO867" s="40" t="s">
        <v>1246</v>
      </c>
      <c r="AP867" s="40" t="s">
        <v>1212</v>
      </c>
      <c r="AQ867" s="40" t="s">
        <v>37</v>
      </c>
      <c r="AR867" s="41">
        <v>44095</v>
      </c>
      <c r="AS867" s="40" t="s">
        <v>37</v>
      </c>
      <c r="AT867" s="54"/>
      <c r="AU867" s="652"/>
    </row>
    <row r="868" spans="1:47" ht="27" thickBot="1" x14ac:dyDescent="0.3">
      <c r="A868" s="488"/>
      <c r="B868" s="131"/>
      <c r="C868" s="75"/>
      <c r="D868" s="568"/>
      <c r="E868" s="568"/>
      <c r="F868" s="75"/>
      <c r="G868" s="143"/>
      <c r="H868" s="118"/>
      <c r="I868" s="131"/>
      <c r="J868" s="192">
        <v>223</v>
      </c>
      <c r="K868" s="79" t="s">
        <v>1231</v>
      </c>
      <c r="L868" s="916">
        <v>1882036.8352000001</v>
      </c>
      <c r="M868" s="916">
        <v>5753439.7593999999</v>
      </c>
      <c r="N868" s="119"/>
      <c r="O868" s="119" t="s">
        <v>1235</v>
      </c>
      <c r="P868" s="78" t="s">
        <v>193</v>
      </c>
      <c r="Q868" s="119"/>
      <c r="R868" s="119"/>
      <c r="S868" s="119"/>
      <c r="T868" s="267" t="s">
        <v>5306</v>
      </c>
      <c r="U868" s="25" t="s">
        <v>16</v>
      </c>
      <c r="V868" s="25" t="s">
        <v>16</v>
      </c>
      <c r="W868" s="25" t="s">
        <v>16</v>
      </c>
      <c r="X868" s="25" t="s">
        <v>193</v>
      </c>
      <c r="Y868" s="25" t="s">
        <v>41</v>
      </c>
      <c r="Z868" s="52" t="s">
        <v>1239</v>
      </c>
      <c r="AA868" s="25">
        <v>1</v>
      </c>
      <c r="AB868" s="25" t="s">
        <v>1241</v>
      </c>
      <c r="AC868" s="25">
        <v>10</v>
      </c>
      <c r="AD868" s="25"/>
      <c r="AE868" s="25"/>
      <c r="AF868" s="25">
        <v>10</v>
      </c>
      <c r="AG868" s="386"/>
      <c r="AH868" s="386"/>
      <c r="AI868" s="51" t="s">
        <v>256</v>
      </c>
      <c r="AJ868" s="105"/>
      <c r="AK868" s="105"/>
      <c r="AL868" s="386"/>
      <c r="AM868" s="386"/>
      <c r="AN868" s="52" t="s">
        <v>1245</v>
      </c>
      <c r="AO868" s="52" t="s">
        <v>1246</v>
      </c>
      <c r="AP868" s="52" t="s">
        <v>1212</v>
      </c>
      <c r="AQ868" s="52" t="s">
        <v>37</v>
      </c>
      <c r="AR868" s="53">
        <v>44095</v>
      </c>
      <c r="AS868" s="52" t="s">
        <v>37</v>
      </c>
      <c r="AT868" s="367"/>
      <c r="AU868" s="653"/>
    </row>
    <row r="869" spans="1:47" ht="26.25" x14ac:dyDescent="0.25">
      <c r="A869" s="488"/>
      <c r="B869" s="131"/>
      <c r="C869" s="75"/>
      <c r="D869" s="568"/>
      <c r="E869" s="568"/>
      <c r="F869" s="75"/>
      <c r="G869" s="143"/>
      <c r="H869" s="118"/>
      <c r="I869" s="131"/>
      <c r="J869" s="188">
        <v>224</v>
      </c>
      <c r="K869" s="76" t="s">
        <v>1232</v>
      </c>
      <c r="L869" s="915">
        <v>1880183.3877999999</v>
      </c>
      <c r="M869" s="915">
        <v>5749911.3009000001</v>
      </c>
      <c r="N869" s="118"/>
      <c r="O869" s="118" t="s">
        <v>1075</v>
      </c>
      <c r="P869" s="75" t="s">
        <v>193</v>
      </c>
      <c r="Q869" s="118"/>
      <c r="R869" s="118"/>
      <c r="S869" s="118"/>
      <c r="T869" s="601" t="s">
        <v>2261</v>
      </c>
      <c r="U869" s="24" t="s">
        <v>16</v>
      </c>
      <c r="V869" s="24" t="s">
        <v>16</v>
      </c>
      <c r="W869" s="24" t="s">
        <v>16</v>
      </c>
      <c r="X869" s="24" t="s">
        <v>193</v>
      </c>
      <c r="Y869" s="24" t="s">
        <v>41</v>
      </c>
      <c r="Z869" s="46" t="s">
        <v>1239</v>
      </c>
      <c r="AA869" s="24">
        <v>1</v>
      </c>
      <c r="AB869" s="24" t="s">
        <v>1242</v>
      </c>
      <c r="AC869" s="24">
        <v>26.5</v>
      </c>
      <c r="AD869" s="24"/>
      <c r="AE869" s="24"/>
      <c r="AF869" s="24">
        <v>15</v>
      </c>
      <c r="AG869" s="351"/>
      <c r="AH869" s="351"/>
      <c r="AI869" s="45" t="s">
        <v>256</v>
      </c>
      <c r="AJ869" s="103"/>
      <c r="AK869" s="103"/>
      <c r="AL869" s="351"/>
      <c r="AM869" s="351"/>
      <c r="AN869" s="46" t="s">
        <v>1245</v>
      </c>
      <c r="AO869" s="46" t="s">
        <v>1246</v>
      </c>
      <c r="AP869" s="46" t="s">
        <v>1212</v>
      </c>
      <c r="AQ869" s="46" t="s">
        <v>37</v>
      </c>
      <c r="AR869" s="47">
        <v>44095</v>
      </c>
      <c r="AS869" s="46" t="s">
        <v>37</v>
      </c>
      <c r="AT869" s="365"/>
      <c r="AU869" s="1107"/>
    </row>
    <row r="870" spans="1:47" ht="26.25" x14ac:dyDescent="0.25">
      <c r="A870" s="488"/>
      <c r="B870" s="131"/>
      <c r="C870" s="75"/>
      <c r="D870" s="568"/>
      <c r="E870" s="568"/>
      <c r="F870" s="75"/>
      <c r="G870" s="143"/>
      <c r="H870" s="118"/>
      <c r="I870" s="131"/>
      <c r="J870" s="188">
        <v>225</v>
      </c>
      <c r="K870" s="76" t="s">
        <v>1233</v>
      </c>
      <c r="L870" s="915">
        <v>1880183.3877999999</v>
      </c>
      <c r="M870" s="915">
        <v>5749911.3009000001</v>
      </c>
      <c r="N870" s="118"/>
      <c r="O870" s="118" t="s">
        <v>1236</v>
      </c>
      <c r="P870" s="75" t="s">
        <v>193</v>
      </c>
      <c r="Q870" s="118"/>
      <c r="R870" s="118"/>
      <c r="S870" s="118"/>
      <c r="T870" s="601" t="s">
        <v>2277</v>
      </c>
      <c r="U870" s="24" t="s">
        <v>16</v>
      </c>
      <c r="V870" s="24" t="s">
        <v>16</v>
      </c>
      <c r="W870" s="24" t="s">
        <v>16</v>
      </c>
      <c r="X870" s="24" t="s">
        <v>193</v>
      </c>
      <c r="Y870" s="24" t="s">
        <v>41</v>
      </c>
      <c r="Z870" s="46" t="s">
        <v>1239</v>
      </c>
      <c r="AA870" s="24">
        <v>1</v>
      </c>
      <c r="AB870" s="103" t="s">
        <v>1243</v>
      </c>
      <c r="AC870" s="24">
        <v>15</v>
      </c>
      <c r="AD870" s="24"/>
      <c r="AE870" s="24"/>
      <c r="AF870" s="24">
        <v>1</v>
      </c>
      <c r="AG870" s="351"/>
      <c r="AH870" s="351"/>
      <c r="AI870" s="45" t="s">
        <v>256</v>
      </c>
      <c r="AJ870" s="103"/>
      <c r="AK870" s="103"/>
      <c r="AL870" s="351"/>
      <c r="AM870" s="351"/>
      <c r="AN870" s="46" t="s">
        <v>1245</v>
      </c>
      <c r="AO870" s="46" t="s">
        <v>1246</v>
      </c>
      <c r="AP870" s="46" t="s">
        <v>1212</v>
      </c>
      <c r="AQ870" s="46" t="s">
        <v>37</v>
      </c>
      <c r="AR870" s="47">
        <v>44095</v>
      </c>
      <c r="AS870" s="46" t="s">
        <v>37</v>
      </c>
      <c r="AT870" s="365"/>
      <c r="AU870" s="1107"/>
    </row>
    <row r="871" spans="1:47" ht="27" thickBot="1" x14ac:dyDescent="0.3">
      <c r="A871" s="489"/>
      <c r="B871" s="133"/>
      <c r="C871" s="78"/>
      <c r="D871" s="569"/>
      <c r="E871" s="569"/>
      <c r="F871" s="78"/>
      <c r="G871" s="144"/>
      <c r="H871" s="119"/>
      <c r="I871" s="133"/>
      <c r="J871" s="192">
        <v>226</v>
      </c>
      <c r="K871" s="79" t="s">
        <v>1234</v>
      </c>
      <c r="L871" s="916">
        <v>1880183.3877999999</v>
      </c>
      <c r="M871" s="916">
        <v>5749911.3009000001</v>
      </c>
      <c r="N871" s="119"/>
      <c r="O871" s="119" t="s">
        <v>1237</v>
      </c>
      <c r="P871" s="78" t="s">
        <v>193</v>
      </c>
      <c r="Q871" s="119"/>
      <c r="R871" s="119"/>
      <c r="S871" s="119"/>
      <c r="T871" s="267" t="s">
        <v>6358</v>
      </c>
      <c r="U871" s="25" t="s">
        <v>16</v>
      </c>
      <c r="V871" s="25" t="s">
        <v>16</v>
      </c>
      <c r="W871" s="25" t="s">
        <v>16</v>
      </c>
      <c r="X871" s="25" t="s">
        <v>193</v>
      </c>
      <c r="Y871" s="25" t="s">
        <v>41</v>
      </c>
      <c r="Z871" s="52" t="s">
        <v>1239</v>
      </c>
      <c r="AA871" s="25">
        <v>1</v>
      </c>
      <c r="AB871" s="25" t="s">
        <v>1244</v>
      </c>
      <c r="AC871" s="25">
        <v>1</v>
      </c>
      <c r="AD871" s="25"/>
      <c r="AE871" s="25"/>
      <c r="AF871" s="25">
        <v>0</v>
      </c>
      <c r="AG871" s="386"/>
      <c r="AH871" s="386"/>
      <c r="AI871" s="51" t="s">
        <v>256</v>
      </c>
      <c r="AJ871" s="105"/>
      <c r="AK871" s="105"/>
      <c r="AL871" s="386"/>
      <c r="AM871" s="386"/>
      <c r="AN871" s="52" t="s">
        <v>1245</v>
      </c>
      <c r="AO871" s="52" t="s">
        <v>1246</v>
      </c>
      <c r="AP871" s="52" t="s">
        <v>1212</v>
      </c>
      <c r="AQ871" s="52" t="s">
        <v>37</v>
      </c>
      <c r="AR871" s="53">
        <v>44095</v>
      </c>
      <c r="AS871" s="52" t="s">
        <v>37</v>
      </c>
      <c r="AT871" s="367"/>
      <c r="AU871" s="653"/>
    </row>
    <row r="872" spans="1:47" ht="52.5" thickBot="1" x14ac:dyDescent="0.3">
      <c r="A872" s="334" t="s">
        <v>3586</v>
      </c>
      <c r="B872" s="333" t="s">
        <v>3586</v>
      </c>
      <c r="C872" s="84">
        <v>526</v>
      </c>
      <c r="D872" s="591" t="s">
        <v>52</v>
      </c>
      <c r="E872" s="591" t="s">
        <v>408</v>
      </c>
      <c r="F872" s="84" t="s">
        <v>567</v>
      </c>
      <c r="G872" s="84" t="s">
        <v>2241</v>
      </c>
      <c r="H872" s="109" t="s">
        <v>5636</v>
      </c>
      <c r="I872" s="124" t="s">
        <v>6852</v>
      </c>
      <c r="J872" s="89">
        <v>1207</v>
      </c>
      <c r="K872" s="396" t="s">
        <v>3585</v>
      </c>
      <c r="L872" s="265">
        <v>1532553.8562</v>
      </c>
      <c r="M872" s="265">
        <v>5374824.3470000001</v>
      </c>
      <c r="N872" s="109"/>
      <c r="O872" s="109">
        <v>0.2</v>
      </c>
      <c r="P872" s="109" t="s">
        <v>194</v>
      </c>
      <c r="Q872" s="109"/>
      <c r="R872" s="109"/>
      <c r="S872" s="109"/>
      <c r="T872" s="343" t="s">
        <v>5153</v>
      </c>
      <c r="U872" s="85" t="s">
        <v>85</v>
      </c>
      <c r="V872" s="86" t="s">
        <v>85</v>
      </c>
      <c r="W872" s="86" t="s">
        <v>85</v>
      </c>
      <c r="X872" s="86" t="s">
        <v>194</v>
      </c>
      <c r="Y872" s="86">
        <v>50</v>
      </c>
      <c r="Z872" s="92" t="s">
        <v>3584</v>
      </c>
      <c r="AA872" s="86">
        <v>1</v>
      </c>
      <c r="AB872" s="197" t="s">
        <v>3631</v>
      </c>
      <c r="AC872" s="86">
        <v>260</v>
      </c>
      <c r="AD872" s="86"/>
      <c r="AE872" s="86"/>
      <c r="AF872" s="86"/>
      <c r="AG872" s="387"/>
      <c r="AH872" s="387"/>
      <c r="AI872" s="94" t="s">
        <v>256</v>
      </c>
      <c r="AJ872" s="86"/>
      <c r="AK872" s="86"/>
      <c r="AL872" s="387"/>
      <c r="AM872" s="387"/>
      <c r="AN872" s="94" t="s">
        <v>3632</v>
      </c>
      <c r="AO872" s="92" t="s">
        <v>3583</v>
      </c>
      <c r="AP872" s="92" t="s">
        <v>3582</v>
      </c>
      <c r="AQ872" s="92" t="s">
        <v>1380</v>
      </c>
      <c r="AR872" s="93">
        <v>44245</v>
      </c>
      <c r="AS872" s="92" t="s">
        <v>1380</v>
      </c>
      <c r="AT872" s="93">
        <v>44148</v>
      </c>
      <c r="AU872" s="1108" t="s">
        <v>37</v>
      </c>
    </row>
    <row r="873" spans="1:47" ht="65.25" thickBot="1" x14ac:dyDescent="0.3">
      <c r="A873" s="345" t="s">
        <v>1848</v>
      </c>
      <c r="B873" s="331" t="s">
        <v>1848</v>
      </c>
      <c r="C873" s="83">
        <v>327</v>
      </c>
      <c r="D873" s="588" t="s">
        <v>52</v>
      </c>
      <c r="E873" s="588" t="s">
        <v>53</v>
      </c>
      <c r="F873" s="83" t="s">
        <v>1847</v>
      </c>
      <c r="G873" s="199" t="s">
        <v>1975</v>
      </c>
      <c r="H873" s="199" t="s">
        <v>5637</v>
      </c>
      <c r="I873" s="395" t="s">
        <v>150</v>
      </c>
      <c r="J873" s="87">
        <v>1100</v>
      </c>
      <c r="K873" s="360" t="s">
        <v>1846</v>
      </c>
      <c r="L873" s="947">
        <v>1769016.9617000001</v>
      </c>
      <c r="M873" s="198">
        <v>5437838.4796000002</v>
      </c>
      <c r="N873" s="199"/>
      <c r="O873" s="199" t="s">
        <v>1845</v>
      </c>
      <c r="P873" s="83" t="s">
        <v>194</v>
      </c>
      <c r="Q873" s="199"/>
      <c r="R873" s="199"/>
      <c r="S873" s="199"/>
      <c r="T873" s="332" t="s">
        <v>2270</v>
      </c>
      <c r="U873" s="85" t="s">
        <v>16</v>
      </c>
      <c r="V873" s="86" t="s">
        <v>85</v>
      </c>
      <c r="W873" s="86" t="s">
        <v>85</v>
      </c>
      <c r="X873" s="86" t="s">
        <v>194</v>
      </c>
      <c r="Y873" s="86">
        <v>9</v>
      </c>
      <c r="Z873" s="92" t="s">
        <v>1844</v>
      </c>
      <c r="AA873" s="86">
        <v>1</v>
      </c>
      <c r="AB873" s="86" t="s">
        <v>1843</v>
      </c>
      <c r="AC873" s="86">
        <v>80</v>
      </c>
      <c r="AD873" s="86"/>
      <c r="AE873" s="86"/>
      <c r="AF873" s="86"/>
      <c r="AG873" s="387"/>
      <c r="AH873" s="387"/>
      <c r="AI873" s="94" t="s">
        <v>256</v>
      </c>
      <c r="AJ873" s="86" t="s">
        <v>13</v>
      </c>
      <c r="AK873" s="86"/>
      <c r="AL873" s="387"/>
      <c r="AM873" s="387"/>
      <c r="AN873" s="92" t="s">
        <v>2269</v>
      </c>
      <c r="AO873" s="92" t="s">
        <v>1842</v>
      </c>
      <c r="AP873" s="92" t="s">
        <v>6965</v>
      </c>
      <c r="AQ873" s="92" t="s">
        <v>1380</v>
      </c>
      <c r="AR873" s="93">
        <v>44012</v>
      </c>
      <c r="AS873" s="92" t="s">
        <v>1380</v>
      </c>
      <c r="AT873" s="93">
        <v>44075</v>
      </c>
      <c r="AU873" s="1108" t="s">
        <v>37</v>
      </c>
    </row>
  </sheetData>
  <phoneticPr fontId="7" type="noConversion"/>
  <dataValidations count="1">
    <dataValidation type="decimal" allowBlank="1" showInputMessage="1" showErrorMessage="1" sqref="Q3:S3" xr:uid="{DED475A9-B782-4DE5-9F55-E28E33859E38}">
      <formula1>0</formula1>
      <formula2>100</formula2>
    </dataValidation>
  </dataValidations>
  <pageMargins left="0.7" right="0.7" top="0.75" bottom="0.75" header="0.3" footer="0.3"/>
  <pageSetup paperSize="9" orientation="portrait" r:id="rId1"/>
  <ignoredErrors>
    <ignoredError sqref="AB796:AB798 AB695 Y567 AB583:AB587" twoDigitTextYear="1"/>
    <ignoredError sqref="Y6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8727-AA03-4823-8A8E-DF21F9AE9C17}">
  <dimension ref="A1:AJ954"/>
  <sheetViews>
    <sheetView zoomScale="80" zoomScaleNormal="80" zoomScaleSheetLayoutView="200" workbookViewId="0">
      <pane ySplit="2" topLeftCell="A487" activePane="bottomLeft" state="frozen"/>
      <selection pane="bottomLeft"/>
    </sheetView>
  </sheetViews>
  <sheetFormatPr defaultRowHeight="15" x14ac:dyDescent="0.25"/>
  <cols>
    <col min="1" max="1" width="12.42578125" style="3" customWidth="1"/>
    <col min="2" max="2" width="23.5703125" style="3" customWidth="1"/>
    <col min="3" max="3" width="9.140625" style="2" customWidth="1"/>
    <col min="4" max="4" width="11.140625" style="352" customWidth="1"/>
    <col min="5" max="5" width="10.7109375" style="352" customWidth="1"/>
    <col min="6" max="6" width="11.28515625" style="185" customWidth="1"/>
    <col min="7" max="7" width="14.7109375" style="185" customWidth="1"/>
    <col min="8" max="8" width="14.7109375" style="2" customWidth="1"/>
    <col min="9" max="9" width="14.7109375" style="185" customWidth="1"/>
    <col min="10" max="10" width="18.7109375" style="3" customWidth="1"/>
    <col min="11" max="11" width="9" style="2"/>
    <col min="12" max="12" width="21.28515625" style="16" customWidth="1"/>
    <col min="13" max="13" width="13.28515625" style="988" customWidth="1"/>
    <col min="14" max="14" width="15.140625" style="988" customWidth="1"/>
    <col min="15" max="15" width="10.28515625" style="2" customWidth="1"/>
    <col min="16" max="16" width="11.140625" style="2" customWidth="1"/>
    <col min="17" max="17" width="31.85546875" style="16" customWidth="1"/>
    <col min="18" max="18" width="15.42578125" style="2" customWidth="1"/>
    <col min="19" max="19" width="15.42578125" style="7" customWidth="1"/>
    <col min="20" max="20" width="18.85546875" style="33" customWidth="1"/>
    <col min="21" max="25" width="10.28515625" style="2" customWidth="1"/>
    <col min="26" max="26" width="10.5703125" style="2" customWidth="1"/>
    <col min="27" max="29" width="11.7109375" style="2" customWidth="1"/>
    <col min="30" max="30" width="33" style="3" customWidth="1"/>
    <col min="31" max="31" width="34.140625" style="3" customWidth="1"/>
    <col min="32" max="32" width="16.85546875" style="3" customWidth="1"/>
    <col min="33" max="33" width="12.28515625" style="2" customWidth="1"/>
    <col min="34" max="34" width="16.85546875" style="3" customWidth="1"/>
    <col min="35" max="35" width="11.140625" style="2" customWidth="1"/>
    <col min="36" max="36" width="19.140625" style="3" customWidth="1"/>
  </cols>
  <sheetData>
    <row r="1" spans="1:36" x14ac:dyDescent="0.25">
      <c r="A1" s="1034" t="s">
        <v>418</v>
      </c>
      <c r="B1" s="1034"/>
      <c r="C1" s="11"/>
      <c r="D1" s="564"/>
      <c r="E1" s="564"/>
      <c r="F1" s="582"/>
      <c r="G1" s="582"/>
      <c r="H1" s="11"/>
      <c r="I1" s="582"/>
      <c r="J1" s="1034"/>
      <c r="K1" s="9" t="s">
        <v>49</v>
      </c>
      <c r="L1" s="56"/>
      <c r="M1" s="970"/>
      <c r="N1" s="970"/>
      <c r="O1" s="10"/>
      <c r="P1" s="10"/>
      <c r="Q1" s="56"/>
      <c r="R1" s="10"/>
      <c r="S1" s="13"/>
      <c r="T1" s="32"/>
      <c r="U1" s="10"/>
      <c r="V1" s="10"/>
      <c r="W1" s="10"/>
      <c r="X1" s="10"/>
      <c r="Y1" s="10"/>
      <c r="Z1" s="10"/>
      <c r="AA1" s="10"/>
      <c r="AB1" s="10"/>
      <c r="AC1" s="10"/>
      <c r="AD1" s="34"/>
      <c r="AE1" s="34"/>
      <c r="AF1" s="34"/>
      <c r="AG1" s="10"/>
      <c r="AH1" s="34"/>
      <c r="AI1" s="10"/>
      <c r="AJ1" s="34"/>
    </row>
    <row r="2" spans="1:36" ht="52.5" thickBot="1" x14ac:dyDescent="0.3">
      <c r="A2" s="584" t="s">
        <v>48</v>
      </c>
      <c r="B2" s="584" t="s">
        <v>10085</v>
      </c>
      <c r="C2" s="17" t="s">
        <v>10106</v>
      </c>
      <c r="D2" s="584" t="s">
        <v>72</v>
      </c>
      <c r="E2" s="584" t="s">
        <v>73</v>
      </c>
      <c r="F2" s="19" t="s">
        <v>71</v>
      </c>
      <c r="G2" s="19" t="s">
        <v>10113</v>
      </c>
      <c r="H2" s="20" t="s">
        <v>88</v>
      </c>
      <c r="I2" s="21" t="s">
        <v>10117</v>
      </c>
      <c r="J2" s="21" t="s">
        <v>10118</v>
      </c>
      <c r="K2" s="17" t="s">
        <v>90</v>
      </c>
      <c r="L2" s="37" t="s">
        <v>0</v>
      </c>
      <c r="M2" s="971" t="s">
        <v>10114</v>
      </c>
      <c r="N2" s="971" t="s">
        <v>10115</v>
      </c>
      <c r="O2" s="23" t="s">
        <v>39</v>
      </c>
      <c r="P2" s="23" t="s">
        <v>10120</v>
      </c>
      <c r="Q2" s="55" t="s">
        <v>10116</v>
      </c>
      <c r="R2" s="23" t="s">
        <v>88</v>
      </c>
      <c r="S2" s="35" t="s">
        <v>46</v>
      </c>
      <c r="T2" s="36" t="s">
        <v>10119</v>
      </c>
      <c r="U2" s="20" t="s">
        <v>93</v>
      </c>
      <c r="V2" s="20" t="s">
        <v>94</v>
      </c>
      <c r="W2" s="20" t="s">
        <v>95</v>
      </c>
      <c r="X2" s="20" t="s">
        <v>96</v>
      </c>
      <c r="Y2" s="20" t="s">
        <v>97</v>
      </c>
      <c r="Z2" s="20" t="s">
        <v>98</v>
      </c>
      <c r="AA2" s="20" t="s">
        <v>10122</v>
      </c>
      <c r="AB2" s="20" t="s">
        <v>10121</v>
      </c>
      <c r="AC2" s="20" t="s">
        <v>123</v>
      </c>
      <c r="AD2" s="37" t="s">
        <v>45</v>
      </c>
      <c r="AE2" s="37" t="s">
        <v>346</v>
      </c>
      <c r="AF2" s="115" t="s">
        <v>10110</v>
      </c>
      <c r="AG2" s="18" t="s">
        <v>10109</v>
      </c>
      <c r="AH2" s="37" t="s">
        <v>10108</v>
      </c>
      <c r="AI2" s="20" t="s">
        <v>38</v>
      </c>
      <c r="AJ2" s="35" t="s">
        <v>10107</v>
      </c>
    </row>
    <row r="3" spans="1:36" ht="64.5" x14ac:dyDescent="0.25">
      <c r="A3" s="524" t="s">
        <v>1461</v>
      </c>
      <c r="B3" s="81" t="s">
        <v>1461</v>
      </c>
      <c r="C3" s="26">
        <v>326</v>
      </c>
      <c r="D3" s="81" t="s">
        <v>53</v>
      </c>
      <c r="E3" s="81" t="s">
        <v>52</v>
      </c>
      <c r="F3" s="219"/>
      <c r="G3" s="219"/>
      <c r="H3" s="491"/>
      <c r="I3" s="469"/>
      <c r="J3" s="701"/>
      <c r="K3" s="490">
        <v>1124</v>
      </c>
      <c r="L3" s="58" t="s">
        <v>7021</v>
      </c>
      <c r="M3" s="935">
        <v>1777897.6693</v>
      </c>
      <c r="N3" s="935">
        <v>5456884.4784000004</v>
      </c>
      <c r="O3" s="491" t="s">
        <v>7022</v>
      </c>
      <c r="P3" s="717" t="s">
        <v>3500</v>
      </c>
      <c r="Q3" s="58" t="s">
        <v>7923</v>
      </c>
      <c r="R3" s="718" t="s">
        <v>85</v>
      </c>
      <c r="S3" s="649" t="s">
        <v>47</v>
      </c>
      <c r="T3" s="340" t="s">
        <v>7024</v>
      </c>
      <c r="U3" s="97"/>
      <c r="V3" s="97"/>
      <c r="W3" s="97"/>
      <c r="X3" s="97"/>
      <c r="Y3" s="97"/>
      <c r="Z3" s="97"/>
      <c r="AA3" s="97"/>
      <c r="AB3" s="97"/>
      <c r="AC3" s="97"/>
      <c r="AD3" s="30" t="s">
        <v>10138</v>
      </c>
      <c r="AE3" s="30" t="s">
        <v>1451</v>
      </c>
      <c r="AF3" s="30" t="s">
        <v>1380</v>
      </c>
      <c r="AG3" s="739">
        <v>44179</v>
      </c>
      <c r="AH3" s="30"/>
      <c r="AI3" s="739">
        <v>44348</v>
      </c>
      <c r="AJ3" s="719" t="s">
        <v>37</v>
      </c>
    </row>
    <row r="4" spans="1:36" ht="51.75" x14ac:dyDescent="0.25">
      <c r="A4" s="736"/>
      <c r="B4" s="516"/>
      <c r="C4" s="27"/>
      <c r="D4" s="516"/>
      <c r="E4" s="516"/>
      <c r="F4" s="216"/>
      <c r="G4" s="216"/>
      <c r="H4" s="502"/>
      <c r="I4" s="470"/>
      <c r="J4" s="703"/>
      <c r="K4" s="501"/>
      <c r="L4" s="60"/>
      <c r="M4" s="972"/>
      <c r="N4" s="972"/>
      <c r="O4" s="502"/>
      <c r="P4" s="502"/>
      <c r="Q4" s="60"/>
      <c r="R4" s="722"/>
      <c r="S4" s="650" t="s">
        <v>91</v>
      </c>
      <c r="T4" s="179" t="s">
        <v>7024</v>
      </c>
      <c r="U4" s="117"/>
      <c r="V4" s="117"/>
      <c r="W4" s="117"/>
      <c r="X4" s="117"/>
      <c r="Y4" s="117"/>
      <c r="Z4" s="117"/>
      <c r="AA4" s="117"/>
      <c r="AB4" s="117"/>
      <c r="AC4" s="117"/>
      <c r="AD4" s="45" t="s">
        <v>7445</v>
      </c>
      <c r="AE4" s="45" t="s">
        <v>1451</v>
      </c>
      <c r="AF4" s="45" t="s">
        <v>1380</v>
      </c>
      <c r="AG4" s="742">
        <v>44179</v>
      </c>
      <c r="AH4" s="45"/>
      <c r="AI4" s="740">
        <v>44348</v>
      </c>
      <c r="AJ4" s="723" t="s">
        <v>37</v>
      </c>
    </row>
    <row r="5" spans="1:36" ht="51.75" x14ac:dyDescent="0.25">
      <c r="A5" s="736"/>
      <c r="B5" s="516"/>
      <c r="C5" s="27"/>
      <c r="D5" s="516"/>
      <c r="E5" s="516"/>
      <c r="F5" s="216"/>
      <c r="G5" s="216"/>
      <c r="H5" s="502"/>
      <c r="I5" s="470"/>
      <c r="J5" s="703"/>
      <c r="K5" s="501"/>
      <c r="L5" s="60"/>
      <c r="M5" s="972"/>
      <c r="N5" s="972"/>
      <c r="O5" s="502"/>
      <c r="P5" s="502"/>
      <c r="Q5" s="60"/>
      <c r="R5" s="722"/>
      <c r="S5" s="650" t="s">
        <v>92</v>
      </c>
      <c r="T5" s="179" t="s">
        <v>7024</v>
      </c>
      <c r="U5" s="117"/>
      <c r="V5" s="117"/>
      <c r="W5" s="117"/>
      <c r="X5" s="117"/>
      <c r="Y5" s="117"/>
      <c r="Z5" s="117"/>
      <c r="AA5" s="117"/>
      <c r="AB5" s="117"/>
      <c r="AC5" s="117"/>
      <c r="AD5" s="45" t="s">
        <v>7445</v>
      </c>
      <c r="AE5" s="45" t="s">
        <v>1451</v>
      </c>
      <c r="AF5" s="45" t="s">
        <v>1380</v>
      </c>
      <c r="AG5" s="742">
        <v>44179</v>
      </c>
      <c r="AH5" s="45"/>
      <c r="AI5" s="740">
        <v>44348</v>
      </c>
      <c r="AJ5" s="723" t="s">
        <v>37</v>
      </c>
    </row>
    <row r="6" spans="1:36" ht="103.5" thickBot="1" x14ac:dyDescent="0.3">
      <c r="A6" s="790"/>
      <c r="B6" s="777"/>
      <c r="C6" s="28"/>
      <c r="D6" s="777"/>
      <c r="E6" s="777"/>
      <c r="F6" s="223"/>
      <c r="G6" s="223"/>
      <c r="H6" s="504"/>
      <c r="I6" s="471"/>
      <c r="J6" s="724"/>
      <c r="K6" s="503"/>
      <c r="L6" s="62"/>
      <c r="M6" s="936"/>
      <c r="N6" s="936"/>
      <c r="O6" s="504"/>
      <c r="P6" s="504"/>
      <c r="Q6" s="62"/>
      <c r="R6" s="725"/>
      <c r="S6" s="651" t="s">
        <v>99</v>
      </c>
      <c r="T6" s="335" t="s">
        <v>7024</v>
      </c>
      <c r="U6" s="120">
        <v>14000</v>
      </c>
      <c r="V6" s="120"/>
      <c r="W6" s="120"/>
      <c r="X6" s="120"/>
      <c r="Y6" s="120"/>
      <c r="Z6" s="120"/>
      <c r="AA6" s="120"/>
      <c r="AB6" s="120"/>
      <c r="AC6" s="120"/>
      <c r="AD6" s="51" t="s">
        <v>7446</v>
      </c>
      <c r="AE6" s="51" t="s">
        <v>1451</v>
      </c>
      <c r="AF6" s="51" t="s">
        <v>1380</v>
      </c>
      <c r="AG6" s="741">
        <v>44179</v>
      </c>
      <c r="AH6" s="51"/>
      <c r="AI6" s="741">
        <v>44348</v>
      </c>
      <c r="AJ6" s="726" t="s">
        <v>37</v>
      </c>
    </row>
    <row r="7" spans="1:36" s="182" customFormat="1" ht="39.75" thickBot="1" x14ac:dyDescent="0.3">
      <c r="A7" s="341" t="s">
        <v>841</v>
      </c>
      <c r="B7" s="181" t="s">
        <v>841</v>
      </c>
      <c r="C7" s="125">
        <v>805</v>
      </c>
      <c r="D7" s="181" t="s">
        <v>52</v>
      </c>
      <c r="E7" s="181" t="s">
        <v>53</v>
      </c>
      <c r="F7" s="126"/>
      <c r="G7" s="513"/>
      <c r="H7" s="126"/>
      <c r="I7" s="253"/>
      <c r="J7" s="297"/>
      <c r="K7" s="89">
        <v>807</v>
      </c>
      <c r="L7" s="396" t="s">
        <v>4617</v>
      </c>
      <c r="M7" s="908">
        <v>1370835.8642</v>
      </c>
      <c r="N7" s="908">
        <v>4877057.3465999998</v>
      </c>
      <c r="O7" s="109" t="s">
        <v>41</v>
      </c>
      <c r="P7" s="109">
        <v>1</v>
      </c>
      <c r="Q7" s="396" t="s">
        <v>2156</v>
      </c>
      <c r="R7" s="343" t="s">
        <v>2156</v>
      </c>
      <c r="S7" s="428" t="s">
        <v>47</v>
      </c>
      <c r="T7" s="243" t="s">
        <v>4618</v>
      </c>
      <c r="U7" s="176">
        <f>1950-1050</f>
        <v>900</v>
      </c>
      <c r="V7" s="176"/>
      <c r="W7" s="176"/>
      <c r="X7" s="176">
        <f>1950-1280</f>
        <v>670</v>
      </c>
      <c r="Y7" s="176"/>
      <c r="Z7" s="176"/>
      <c r="AA7" s="176" t="s">
        <v>10</v>
      </c>
      <c r="AB7" s="176" t="s">
        <v>16</v>
      </c>
      <c r="AC7" s="176">
        <v>2</v>
      </c>
      <c r="AD7" s="207" t="s">
        <v>4620</v>
      </c>
      <c r="AE7" s="207" t="s">
        <v>852</v>
      </c>
      <c r="AF7" s="207" t="s">
        <v>37</v>
      </c>
      <c r="AG7" s="751">
        <v>44215</v>
      </c>
      <c r="AH7" s="207"/>
      <c r="AI7" s="176"/>
      <c r="AJ7" s="447"/>
    </row>
    <row r="8" spans="1:36" s="182" customFormat="1" ht="64.5" x14ac:dyDescent="0.25">
      <c r="A8" s="339"/>
      <c r="B8" s="116"/>
      <c r="C8" s="95"/>
      <c r="D8" s="116"/>
      <c r="E8" s="116"/>
      <c r="F8" s="259"/>
      <c r="G8" s="259"/>
      <c r="H8" s="108"/>
      <c r="I8" s="462"/>
      <c r="J8" s="298"/>
      <c r="K8" s="189">
        <v>808</v>
      </c>
      <c r="L8" s="355" t="s">
        <v>4619</v>
      </c>
      <c r="M8" s="897">
        <v>1377477.861</v>
      </c>
      <c r="N8" s="897">
        <v>4885503.0029999996</v>
      </c>
      <c r="O8" s="126" t="s">
        <v>41</v>
      </c>
      <c r="P8" s="126">
        <v>3</v>
      </c>
      <c r="Q8" s="355" t="s">
        <v>2156</v>
      </c>
      <c r="R8" s="344" t="s">
        <v>2156</v>
      </c>
      <c r="S8" s="507" t="s">
        <v>47</v>
      </c>
      <c r="T8" s="39" t="s">
        <v>4623</v>
      </c>
      <c r="U8" s="153">
        <f>1950-788</f>
        <v>1162</v>
      </c>
      <c r="V8" s="153"/>
      <c r="W8" s="153"/>
      <c r="X8" s="153">
        <f>1950-1836</f>
        <v>114</v>
      </c>
      <c r="Y8" s="153"/>
      <c r="Z8" s="153"/>
      <c r="AA8" s="153" t="s">
        <v>16</v>
      </c>
      <c r="AB8" s="153" t="s">
        <v>10</v>
      </c>
      <c r="AC8" s="153">
        <v>2</v>
      </c>
      <c r="AD8" s="203" t="s">
        <v>4624</v>
      </c>
      <c r="AE8" s="203" t="s">
        <v>852</v>
      </c>
      <c r="AF8" s="203" t="s">
        <v>37</v>
      </c>
      <c r="AG8" s="752">
        <v>44215</v>
      </c>
      <c r="AH8" s="203"/>
      <c r="AI8" s="153"/>
      <c r="AJ8" s="508"/>
    </row>
    <row r="9" spans="1:36" s="182" customFormat="1" ht="64.5" x14ac:dyDescent="0.25">
      <c r="A9" s="339"/>
      <c r="B9" s="116"/>
      <c r="C9" s="95"/>
      <c r="D9" s="116"/>
      <c r="E9" s="116"/>
      <c r="F9" s="259"/>
      <c r="G9" s="259"/>
      <c r="H9" s="108"/>
      <c r="I9" s="462"/>
      <c r="J9" s="298"/>
      <c r="K9" s="191"/>
      <c r="L9" s="359"/>
      <c r="M9" s="896"/>
      <c r="N9" s="896"/>
      <c r="O9" s="108"/>
      <c r="P9" s="108"/>
      <c r="Q9" s="359"/>
      <c r="R9" s="184"/>
      <c r="S9" s="509" t="s">
        <v>91</v>
      </c>
      <c r="T9" s="43" t="s">
        <v>4623</v>
      </c>
      <c r="U9" s="132">
        <f>1950-788</f>
        <v>1162</v>
      </c>
      <c r="V9" s="132"/>
      <c r="W9" s="132"/>
      <c r="X9" s="132">
        <f>1950-1836</f>
        <v>114</v>
      </c>
      <c r="Y9" s="132"/>
      <c r="Z9" s="132"/>
      <c r="AA9" s="132" t="s">
        <v>16</v>
      </c>
      <c r="AB9" s="132" t="s">
        <v>10</v>
      </c>
      <c r="AC9" s="132">
        <v>2</v>
      </c>
      <c r="AD9" s="180" t="s">
        <v>4624</v>
      </c>
      <c r="AE9" s="180" t="s">
        <v>852</v>
      </c>
      <c r="AF9" s="180" t="s">
        <v>37</v>
      </c>
      <c r="AG9" s="753">
        <v>44215</v>
      </c>
      <c r="AH9" s="180"/>
      <c r="AI9" s="132"/>
      <c r="AJ9" s="510"/>
    </row>
    <row r="10" spans="1:36" s="182" customFormat="1" ht="52.5" thickBot="1" x14ac:dyDescent="0.3">
      <c r="A10" s="339"/>
      <c r="B10" s="116"/>
      <c r="C10" s="95"/>
      <c r="D10" s="116"/>
      <c r="E10" s="116"/>
      <c r="F10" s="259"/>
      <c r="G10" s="259"/>
      <c r="H10" s="108"/>
      <c r="I10" s="462"/>
      <c r="J10" s="298"/>
      <c r="K10" s="190"/>
      <c r="L10" s="357"/>
      <c r="M10" s="898"/>
      <c r="N10" s="898"/>
      <c r="O10" s="107"/>
      <c r="P10" s="107"/>
      <c r="Q10" s="357"/>
      <c r="R10" s="127"/>
      <c r="S10" s="511" t="s">
        <v>92</v>
      </c>
      <c r="T10" s="49" t="s">
        <v>4621</v>
      </c>
      <c r="U10" s="156">
        <f>13308+2019</f>
        <v>15327</v>
      </c>
      <c r="V10" s="156"/>
      <c r="W10" s="156"/>
      <c r="X10" s="156">
        <f>1950-682</f>
        <v>1268</v>
      </c>
      <c r="Y10" s="156"/>
      <c r="Z10" s="156"/>
      <c r="AA10" s="156" t="s">
        <v>16</v>
      </c>
      <c r="AB10" s="156" t="s">
        <v>16</v>
      </c>
      <c r="AC10" s="156">
        <v>2</v>
      </c>
      <c r="AD10" s="183" t="s">
        <v>4622</v>
      </c>
      <c r="AE10" s="183" t="s">
        <v>852</v>
      </c>
      <c r="AF10" s="183" t="s">
        <v>37</v>
      </c>
      <c r="AG10" s="754">
        <v>44215</v>
      </c>
      <c r="AH10" s="183"/>
      <c r="AI10" s="156"/>
      <c r="AJ10" s="512"/>
    </row>
    <row r="11" spans="1:36" s="182" customFormat="1" ht="39" x14ac:dyDescent="0.25">
      <c r="A11" s="339"/>
      <c r="B11" s="116"/>
      <c r="C11" s="95"/>
      <c r="D11" s="116"/>
      <c r="E11" s="116"/>
      <c r="F11" s="259"/>
      <c r="G11" s="259"/>
      <c r="H11" s="108"/>
      <c r="I11" s="462"/>
      <c r="J11" s="298"/>
      <c r="K11" s="189" t="s">
        <v>2156</v>
      </c>
      <c r="L11" s="355" t="s">
        <v>4625</v>
      </c>
      <c r="M11" s="897" t="s">
        <v>2156</v>
      </c>
      <c r="N11" s="897" t="s">
        <v>2156</v>
      </c>
      <c r="O11" s="126" t="s">
        <v>4632</v>
      </c>
      <c r="P11" s="126">
        <v>3</v>
      </c>
      <c r="Q11" s="355" t="s">
        <v>4633</v>
      </c>
      <c r="R11" s="344" t="s">
        <v>16</v>
      </c>
      <c r="S11" s="507" t="s">
        <v>47</v>
      </c>
      <c r="T11" s="39" t="s">
        <v>4626</v>
      </c>
      <c r="U11" s="153">
        <f>1950-1047</f>
        <v>903</v>
      </c>
      <c r="V11" s="153"/>
      <c r="W11" s="153"/>
      <c r="X11" s="153">
        <f>1950-1278</f>
        <v>672</v>
      </c>
      <c r="Y11" s="153"/>
      <c r="Z11" s="153"/>
      <c r="AA11" s="153" t="s">
        <v>16</v>
      </c>
      <c r="AB11" s="153" t="s">
        <v>16</v>
      </c>
      <c r="AC11" s="153">
        <v>2</v>
      </c>
      <c r="AD11" s="203" t="s">
        <v>4629</v>
      </c>
      <c r="AE11" s="203" t="s">
        <v>852</v>
      </c>
      <c r="AF11" s="203" t="s">
        <v>37</v>
      </c>
      <c r="AG11" s="752">
        <v>44215</v>
      </c>
      <c r="AH11" s="203"/>
      <c r="AI11" s="153"/>
      <c r="AJ11" s="508"/>
    </row>
    <row r="12" spans="1:36" s="182" customFormat="1" ht="39" x14ac:dyDescent="0.25">
      <c r="A12" s="339"/>
      <c r="B12" s="116"/>
      <c r="C12" s="95"/>
      <c r="D12" s="116"/>
      <c r="E12" s="116"/>
      <c r="F12" s="259"/>
      <c r="G12" s="259"/>
      <c r="H12" s="108"/>
      <c r="I12" s="462"/>
      <c r="J12" s="298"/>
      <c r="K12" s="191"/>
      <c r="L12" s="359"/>
      <c r="M12" s="896"/>
      <c r="N12" s="896"/>
      <c r="O12" s="108"/>
      <c r="P12" s="108"/>
      <c r="Q12" s="359"/>
      <c r="R12" s="184"/>
      <c r="S12" s="509" t="s">
        <v>91</v>
      </c>
      <c r="T12" s="43" t="s">
        <v>4627</v>
      </c>
      <c r="U12" s="132">
        <f>1950-737</f>
        <v>1213</v>
      </c>
      <c r="V12" s="132"/>
      <c r="W12" s="132"/>
      <c r="X12" s="132">
        <f>1950-960</f>
        <v>990</v>
      </c>
      <c r="Y12" s="132"/>
      <c r="Z12" s="132"/>
      <c r="AA12" s="132" t="s">
        <v>16</v>
      </c>
      <c r="AB12" s="132" t="s">
        <v>10</v>
      </c>
      <c r="AC12" s="132">
        <v>2</v>
      </c>
      <c r="AD12" s="180" t="s">
        <v>4631</v>
      </c>
      <c r="AE12" s="180" t="s">
        <v>852</v>
      </c>
      <c r="AF12" s="180" t="s">
        <v>37</v>
      </c>
      <c r="AG12" s="753">
        <v>44215</v>
      </c>
      <c r="AH12" s="180"/>
      <c r="AI12" s="132"/>
      <c r="AJ12" s="510"/>
    </row>
    <row r="13" spans="1:36" s="182" customFormat="1" ht="15.75" thickBot="1" x14ac:dyDescent="0.3">
      <c r="A13" s="336"/>
      <c r="B13" s="196"/>
      <c r="C13" s="96"/>
      <c r="D13" s="196"/>
      <c r="E13" s="196"/>
      <c r="F13" s="262"/>
      <c r="G13" s="262"/>
      <c r="H13" s="107"/>
      <c r="I13" s="363"/>
      <c r="J13" s="299"/>
      <c r="K13" s="190"/>
      <c r="L13" s="357"/>
      <c r="M13" s="898"/>
      <c r="N13" s="898"/>
      <c r="O13" s="107"/>
      <c r="P13" s="107"/>
      <c r="Q13" s="357"/>
      <c r="R13" s="127"/>
      <c r="S13" s="511" t="s">
        <v>92</v>
      </c>
      <c r="T13" s="49" t="s">
        <v>4628</v>
      </c>
      <c r="U13" s="156">
        <f>13314+2019</f>
        <v>15333</v>
      </c>
      <c r="V13" s="156"/>
      <c r="W13" s="156"/>
      <c r="X13" s="156">
        <f>1950-680</f>
        <v>1270</v>
      </c>
      <c r="Y13" s="156"/>
      <c r="Z13" s="156"/>
      <c r="AA13" s="156" t="s">
        <v>16</v>
      </c>
      <c r="AB13" s="156" t="s">
        <v>16</v>
      </c>
      <c r="AC13" s="156">
        <v>2</v>
      </c>
      <c r="AD13" s="183" t="s">
        <v>4630</v>
      </c>
      <c r="AE13" s="183" t="s">
        <v>852</v>
      </c>
      <c r="AF13" s="183" t="s">
        <v>37</v>
      </c>
      <c r="AG13" s="754">
        <v>44215</v>
      </c>
      <c r="AH13" s="183"/>
      <c r="AI13" s="156"/>
      <c r="AJ13" s="512"/>
    </row>
    <row r="14" spans="1:36" ht="64.5" x14ac:dyDescent="0.25">
      <c r="A14" s="487" t="s">
        <v>1470</v>
      </c>
      <c r="B14" s="128" t="s">
        <v>5161</v>
      </c>
      <c r="C14" s="72">
        <v>321</v>
      </c>
      <c r="D14" s="128" t="s">
        <v>53</v>
      </c>
      <c r="E14" s="128" t="s">
        <v>52</v>
      </c>
      <c r="F14" s="251"/>
      <c r="G14" s="251"/>
      <c r="H14" s="129"/>
      <c r="I14" s="65"/>
      <c r="J14" s="626"/>
      <c r="K14" s="187">
        <v>1112</v>
      </c>
      <c r="L14" s="73" t="s">
        <v>7025</v>
      </c>
      <c r="M14" s="909">
        <v>1841685.8237999999</v>
      </c>
      <c r="N14" s="909">
        <v>5492377.6968999999</v>
      </c>
      <c r="O14" s="129" t="s">
        <v>41</v>
      </c>
      <c r="P14" s="129">
        <v>2</v>
      </c>
      <c r="Q14" s="73" t="s">
        <v>2156</v>
      </c>
      <c r="R14" s="266" t="s">
        <v>2156</v>
      </c>
      <c r="S14" s="649" t="s">
        <v>47</v>
      </c>
      <c r="T14" s="340" t="s">
        <v>7037</v>
      </c>
      <c r="U14" s="97"/>
      <c r="V14" s="97">
        <v>510</v>
      </c>
      <c r="W14" s="97">
        <v>690</v>
      </c>
      <c r="X14" s="97"/>
      <c r="Y14" s="97"/>
      <c r="Z14" s="97"/>
      <c r="AA14" s="97"/>
      <c r="AB14" s="97"/>
      <c r="AC14" s="97"/>
      <c r="AD14" s="30" t="s">
        <v>7447</v>
      </c>
      <c r="AE14" s="30" t="s">
        <v>1682</v>
      </c>
      <c r="AF14" s="30" t="s">
        <v>1380</v>
      </c>
      <c r="AG14" s="739">
        <v>44223</v>
      </c>
      <c r="AH14" s="30"/>
      <c r="AI14" s="739">
        <v>44348</v>
      </c>
      <c r="AJ14" s="719" t="s">
        <v>37</v>
      </c>
    </row>
    <row r="15" spans="1:36" ht="90.75" thickBot="1" x14ac:dyDescent="0.3">
      <c r="A15" s="488"/>
      <c r="B15" s="131"/>
      <c r="C15" s="75"/>
      <c r="D15" s="131"/>
      <c r="E15" s="131"/>
      <c r="F15" s="312"/>
      <c r="G15" s="312"/>
      <c r="H15" s="118"/>
      <c r="I15" s="695"/>
      <c r="J15" s="313"/>
      <c r="K15" s="192"/>
      <c r="L15" s="79"/>
      <c r="M15" s="910"/>
      <c r="N15" s="910"/>
      <c r="O15" s="119"/>
      <c r="P15" s="119"/>
      <c r="Q15" s="79"/>
      <c r="R15" s="267"/>
      <c r="S15" s="651" t="s">
        <v>91</v>
      </c>
      <c r="T15" s="335" t="s">
        <v>7036</v>
      </c>
      <c r="U15" s="120"/>
      <c r="V15" s="120">
        <v>2780</v>
      </c>
      <c r="W15" s="120">
        <v>2960</v>
      </c>
      <c r="X15" s="120"/>
      <c r="Y15" s="120">
        <v>510</v>
      </c>
      <c r="Z15" s="120">
        <v>690</v>
      </c>
      <c r="AA15" s="120" t="s">
        <v>85</v>
      </c>
      <c r="AB15" s="120" t="s">
        <v>16</v>
      </c>
      <c r="AC15" s="120">
        <v>3</v>
      </c>
      <c r="AD15" s="51" t="s">
        <v>7448</v>
      </c>
      <c r="AE15" s="51" t="s">
        <v>1682</v>
      </c>
      <c r="AF15" s="51" t="s">
        <v>1380</v>
      </c>
      <c r="AG15" s="741">
        <v>44223</v>
      </c>
      <c r="AH15" s="51"/>
      <c r="AI15" s="741">
        <v>44348</v>
      </c>
      <c r="AJ15" s="727" t="s">
        <v>37</v>
      </c>
    </row>
    <row r="16" spans="1:36" ht="64.5" x14ac:dyDescent="0.25">
      <c r="A16" s="488"/>
      <c r="B16" s="131"/>
      <c r="C16" s="75"/>
      <c r="D16" s="131"/>
      <c r="E16" s="131"/>
      <c r="F16" s="312"/>
      <c r="G16" s="312"/>
      <c r="H16" s="118"/>
      <c r="I16" s="695"/>
      <c r="J16" s="313"/>
      <c r="K16" s="187">
        <v>1113</v>
      </c>
      <c r="L16" s="73" t="s">
        <v>7026</v>
      </c>
      <c r="M16" s="909">
        <v>1841777.0793000001</v>
      </c>
      <c r="N16" s="909">
        <v>5492482.3479000004</v>
      </c>
      <c r="O16" s="129" t="s">
        <v>41</v>
      </c>
      <c r="P16" s="129">
        <v>2</v>
      </c>
      <c r="Q16" s="73" t="s">
        <v>2156</v>
      </c>
      <c r="R16" s="266" t="s">
        <v>2156</v>
      </c>
      <c r="S16" s="649" t="s">
        <v>47</v>
      </c>
      <c r="T16" s="340" t="s">
        <v>7027</v>
      </c>
      <c r="U16" s="97">
        <v>200</v>
      </c>
      <c r="V16" s="97"/>
      <c r="W16" s="97"/>
      <c r="X16" s="97"/>
      <c r="Y16" s="97"/>
      <c r="Z16" s="97"/>
      <c r="AA16" s="97" t="s">
        <v>85</v>
      </c>
      <c r="AB16" s="97" t="s">
        <v>16</v>
      </c>
      <c r="AC16" s="97">
        <v>3</v>
      </c>
      <c r="AD16" s="30" t="s">
        <v>7449</v>
      </c>
      <c r="AE16" s="30" t="s">
        <v>1682</v>
      </c>
      <c r="AF16" s="30" t="s">
        <v>1380</v>
      </c>
      <c r="AG16" s="739">
        <v>44223</v>
      </c>
      <c r="AH16" s="30"/>
      <c r="AI16" s="739">
        <v>44348</v>
      </c>
      <c r="AJ16" s="728" t="s">
        <v>37</v>
      </c>
    </row>
    <row r="17" spans="1:36" ht="90.75" thickBot="1" x14ac:dyDescent="0.3">
      <c r="A17" s="488"/>
      <c r="B17" s="131"/>
      <c r="C17" s="75"/>
      <c r="D17" s="131"/>
      <c r="E17" s="131"/>
      <c r="F17" s="312"/>
      <c r="G17" s="312"/>
      <c r="H17" s="118"/>
      <c r="I17" s="695"/>
      <c r="J17" s="313"/>
      <c r="K17" s="192"/>
      <c r="L17" s="79"/>
      <c r="M17" s="910"/>
      <c r="N17" s="910"/>
      <c r="O17" s="119"/>
      <c r="P17" s="119"/>
      <c r="Q17" s="79"/>
      <c r="R17" s="267"/>
      <c r="S17" s="651" t="s">
        <v>91</v>
      </c>
      <c r="T17" s="335" t="s">
        <v>7028</v>
      </c>
      <c r="U17" s="120"/>
      <c r="V17" s="120">
        <v>510</v>
      </c>
      <c r="W17" s="120">
        <v>690</v>
      </c>
      <c r="X17" s="120"/>
      <c r="Y17" s="120"/>
      <c r="Z17" s="120"/>
      <c r="AA17" s="120" t="s">
        <v>85</v>
      </c>
      <c r="AB17" s="120" t="s">
        <v>16</v>
      </c>
      <c r="AC17" s="120">
        <v>3</v>
      </c>
      <c r="AD17" s="51" t="s">
        <v>7452</v>
      </c>
      <c r="AE17" s="51" t="s">
        <v>1682</v>
      </c>
      <c r="AF17" s="51" t="s">
        <v>1380</v>
      </c>
      <c r="AG17" s="741">
        <v>44223</v>
      </c>
      <c r="AH17" s="51"/>
      <c r="AI17" s="741">
        <v>44223</v>
      </c>
      <c r="AJ17" s="727" t="s">
        <v>37</v>
      </c>
    </row>
    <row r="18" spans="1:36" ht="115.5" x14ac:dyDescent="0.25">
      <c r="A18" s="488"/>
      <c r="B18" s="131"/>
      <c r="C18" s="75"/>
      <c r="D18" s="131"/>
      <c r="E18" s="131"/>
      <c r="F18" s="312"/>
      <c r="G18" s="312"/>
      <c r="H18" s="118"/>
      <c r="I18" s="695"/>
      <c r="J18" s="313"/>
      <c r="K18" s="187">
        <v>1114</v>
      </c>
      <c r="L18" s="73" t="s">
        <v>7029</v>
      </c>
      <c r="M18" s="909">
        <v>1838744.6949</v>
      </c>
      <c r="N18" s="909">
        <v>5488920.0155999996</v>
      </c>
      <c r="O18" s="129" t="s">
        <v>41</v>
      </c>
      <c r="P18" s="231" t="s">
        <v>1316</v>
      </c>
      <c r="Q18" s="73" t="s">
        <v>2156</v>
      </c>
      <c r="R18" s="129" t="s">
        <v>2156</v>
      </c>
      <c r="S18" s="649" t="s">
        <v>47</v>
      </c>
      <c r="T18" s="340" t="s">
        <v>7030</v>
      </c>
      <c r="U18" s="97">
        <v>200</v>
      </c>
      <c r="V18" s="97">
        <v>0</v>
      </c>
      <c r="W18" s="97">
        <v>470</v>
      </c>
      <c r="X18" s="97"/>
      <c r="Y18" s="97"/>
      <c r="Z18" s="97"/>
      <c r="AA18" s="97" t="s">
        <v>85</v>
      </c>
      <c r="AB18" s="97" t="s">
        <v>10</v>
      </c>
      <c r="AC18" s="97">
        <v>3</v>
      </c>
      <c r="AD18" s="30" t="s">
        <v>7031</v>
      </c>
      <c r="AE18" s="30" t="s">
        <v>1682</v>
      </c>
      <c r="AF18" s="30" t="s">
        <v>1380</v>
      </c>
      <c r="AG18" s="739">
        <v>44223</v>
      </c>
      <c r="AH18" s="30"/>
      <c r="AI18" s="739">
        <v>44348</v>
      </c>
      <c r="AJ18" s="728" t="s">
        <v>37</v>
      </c>
    </row>
    <row r="19" spans="1:36" ht="116.25" thickBot="1" x14ac:dyDescent="0.3">
      <c r="A19" s="488"/>
      <c r="B19" s="131"/>
      <c r="C19" s="75"/>
      <c r="D19" s="131"/>
      <c r="E19" s="131"/>
      <c r="F19" s="312"/>
      <c r="G19" s="312"/>
      <c r="H19" s="118"/>
      <c r="I19" s="695"/>
      <c r="J19" s="313"/>
      <c r="K19" s="188"/>
      <c r="L19" s="547"/>
      <c r="M19" s="921"/>
      <c r="N19" s="921"/>
      <c r="O19" s="541"/>
      <c r="P19" s="541"/>
      <c r="Q19" s="547"/>
      <c r="R19" s="541"/>
      <c r="S19" s="650" t="s">
        <v>91</v>
      </c>
      <c r="T19" s="337" t="s">
        <v>7032</v>
      </c>
      <c r="U19" s="185"/>
      <c r="V19" s="185">
        <v>310</v>
      </c>
      <c r="W19" s="185">
        <v>540</v>
      </c>
      <c r="X19" s="185"/>
      <c r="Y19" s="185"/>
      <c r="Z19" s="185"/>
      <c r="AA19" s="185" t="s">
        <v>85</v>
      </c>
      <c r="AB19" s="185" t="s">
        <v>16</v>
      </c>
      <c r="AC19" s="185">
        <v>3</v>
      </c>
      <c r="AD19" s="16" t="s">
        <v>7453</v>
      </c>
      <c r="AE19" s="16" t="s">
        <v>1682</v>
      </c>
      <c r="AF19" s="16" t="s">
        <v>1380</v>
      </c>
      <c r="AG19" s="742">
        <v>44223</v>
      </c>
      <c r="AH19" s="16"/>
      <c r="AI19" s="742">
        <v>44348</v>
      </c>
      <c r="AJ19" s="729" t="s">
        <v>37</v>
      </c>
    </row>
    <row r="20" spans="1:36" ht="64.5" x14ac:dyDescent="0.25">
      <c r="A20" s="488"/>
      <c r="B20" s="131"/>
      <c r="C20" s="75"/>
      <c r="D20" s="131"/>
      <c r="E20" s="131"/>
      <c r="F20" s="312"/>
      <c r="G20" s="312"/>
      <c r="H20" s="118"/>
      <c r="I20" s="695"/>
      <c r="J20" s="313"/>
      <c r="K20" s="187" t="s">
        <v>2156</v>
      </c>
      <c r="L20" s="73" t="s">
        <v>7033</v>
      </c>
      <c r="M20" s="909" t="s">
        <v>2156</v>
      </c>
      <c r="N20" s="909" t="s">
        <v>2156</v>
      </c>
      <c r="O20" s="129" t="s">
        <v>41</v>
      </c>
      <c r="P20" s="129">
        <v>2</v>
      </c>
      <c r="Q20" s="73" t="s">
        <v>2156</v>
      </c>
      <c r="R20" s="266" t="s">
        <v>2156</v>
      </c>
      <c r="S20" s="649" t="s">
        <v>47</v>
      </c>
      <c r="T20" s="340" t="s">
        <v>7034</v>
      </c>
      <c r="U20" s="97"/>
      <c r="V20" s="97"/>
      <c r="W20" s="97"/>
      <c r="X20" s="97"/>
      <c r="Y20" s="97"/>
      <c r="Z20" s="97"/>
      <c r="AA20" s="97" t="s">
        <v>85</v>
      </c>
      <c r="AB20" s="97" t="s">
        <v>16</v>
      </c>
      <c r="AC20" s="97">
        <v>3</v>
      </c>
      <c r="AD20" s="30" t="s">
        <v>7450</v>
      </c>
      <c r="AE20" s="30" t="s">
        <v>1682</v>
      </c>
      <c r="AF20" s="30" t="s">
        <v>1380</v>
      </c>
      <c r="AG20" s="739">
        <v>44223</v>
      </c>
      <c r="AH20" s="30"/>
      <c r="AI20" s="739">
        <v>44348</v>
      </c>
      <c r="AJ20" s="728" t="s">
        <v>37</v>
      </c>
    </row>
    <row r="21" spans="1:36" ht="90.75" thickBot="1" x14ac:dyDescent="0.3">
      <c r="A21" s="489"/>
      <c r="B21" s="133"/>
      <c r="C21" s="78"/>
      <c r="D21" s="133"/>
      <c r="E21" s="133"/>
      <c r="F21" s="233"/>
      <c r="G21" s="233"/>
      <c r="H21" s="119"/>
      <c r="I21" s="70"/>
      <c r="J21" s="234"/>
      <c r="K21" s="192"/>
      <c r="L21" s="79"/>
      <c r="M21" s="910"/>
      <c r="N21" s="910"/>
      <c r="O21" s="119"/>
      <c r="P21" s="119"/>
      <c r="Q21" s="79"/>
      <c r="R21" s="267"/>
      <c r="S21" s="651" t="s">
        <v>91</v>
      </c>
      <c r="T21" s="335" t="s">
        <v>7035</v>
      </c>
      <c r="U21" s="120"/>
      <c r="V21" s="120">
        <v>2780</v>
      </c>
      <c r="W21" s="120">
        <v>2960</v>
      </c>
      <c r="X21" s="120"/>
      <c r="Y21" s="120">
        <v>510</v>
      </c>
      <c r="Z21" s="120">
        <v>690</v>
      </c>
      <c r="AA21" s="120" t="s">
        <v>16</v>
      </c>
      <c r="AB21" s="120" t="s">
        <v>16</v>
      </c>
      <c r="AC21" s="120">
        <v>2</v>
      </c>
      <c r="AD21" s="51" t="s">
        <v>7451</v>
      </c>
      <c r="AE21" s="51" t="s">
        <v>1682</v>
      </c>
      <c r="AF21" s="51" t="s">
        <v>1380</v>
      </c>
      <c r="AG21" s="741">
        <v>44223</v>
      </c>
      <c r="AH21" s="51"/>
      <c r="AI21" s="741">
        <v>44348</v>
      </c>
      <c r="AJ21" s="727" t="s">
        <v>37</v>
      </c>
    </row>
    <row r="22" spans="1:36" ht="64.5" x14ac:dyDescent="0.25">
      <c r="A22" s="635" t="s">
        <v>86</v>
      </c>
      <c r="B22" s="316" t="s">
        <v>6795</v>
      </c>
      <c r="C22" s="254">
        <v>599</v>
      </c>
      <c r="D22" s="597" t="s">
        <v>53</v>
      </c>
      <c r="E22" s="597"/>
      <c r="F22" s="255" t="s">
        <v>137</v>
      </c>
      <c r="G22" s="255">
        <v>27</v>
      </c>
      <c r="H22" s="254" t="s">
        <v>10</v>
      </c>
      <c r="I22" s="316" t="s">
        <v>140</v>
      </c>
      <c r="J22" s="646" t="s">
        <v>136</v>
      </c>
      <c r="K22" s="252">
        <v>12</v>
      </c>
      <c r="L22" s="253" t="s">
        <v>89</v>
      </c>
      <c r="M22" s="952">
        <v>1207577.246725</v>
      </c>
      <c r="N22" s="952">
        <v>5071461.4909119997</v>
      </c>
      <c r="O22" s="254" t="s">
        <v>125</v>
      </c>
      <c r="P22" s="254">
        <v>24</v>
      </c>
      <c r="Q22" s="253" t="s">
        <v>7925</v>
      </c>
      <c r="R22" s="256" t="s">
        <v>16</v>
      </c>
      <c r="S22" s="42" t="s">
        <v>47</v>
      </c>
      <c r="T22" s="43" t="s">
        <v>4784</v>
      </c>
      <c r="U22" s="24">
        <v>554</v>
      </c>
      <c r="V22" s="24"/>
      <c r="W22" s="24"/>
      <c r="X22" s="24">
        <v>186</v>
      </c>
      <c r="Y22" s="24"/>
      <c r="Z22" s="24"/>
      <c r="AA22" s="24" t="s">
        <v>10</v>
      </c>
      <c r="AB22" s="24" t="s">
        <v>16</v>
      </c>
      <c r="AC22" s="24">
        <v>2</v>
      </c>
      <c r="AD22" s="45" t="s">
        <v>124</v>
      </c>
      <c r="AE22" s="46" t="s">
        <v>3552</v>
      </c>
      <c r="AF22" s="46" t="s">
        <v>37</v>
      </c>
      <c r="AG22" s="746">
        <v>43973</v>
      </c>
      <c r="AH22" s="46"/>
      <c r="AI22" s="24"/>
      <c r="AJ22" s="1107"/>
    </row>
    <row r="23" spans="1:36" ht="26.25" x14ac:dyDescent="0.25">
      <c r="A23" s="1042"/>
      <c r="B23" s="346"/>
      <c r="C23" s="258"/>
      <c r="D23" s="778"/>
      <c r="E23" s="778"/>
      <c r="F23" s="259"/>
      <c r="G23" s="259"/>
      <c r="H23" s="258"/>
      <c r="I23" s="259"/>
      <c r="J23" s="1122"/>
      <c r="K23" s="257"/>
      <c r="L23" s="462"/>
      <c r="M23" s="953"/>
      <c r="N23" s="953"/>
      <c r="O23" s="258"/>
      <c r="P23" s="258"/>
      <c r="Q23" s="462"/>
      <c r="R23" s="373"/>
      <c r="S23" s="42" t="s">
        <v>91</v>
      </c>
      <c r="T23" s="43" t="s">
        <v>4785</v>
      </c>
      <c r="U23" s="24">
        <v>743</v>
      </c>
      <c r="V23" s="24"/>
      <c r="W23" s="24"/>
      <c r="X23" s="24">
        <v>589</v>
      </c>
      <c r="Y23" s="24"/>
      <c r="Z23" s="24"/>
      <c r="AA23" s="24" t="s">
        <v>10</v>
      </c>
      <c r="AB23" s="24" t="s">
        <v>16</v>
      </c>
      <c r="AC23" s="24">
        <v>2</v>
      </c>
      <c r="AD23" s="45" t="s">
        <v>124</v>
      </c>
      <c r="AE23" s="46" t="s">
        <v>320</v>
      </c>
      <c r="AF23" s="46" t="s">
        <v>37</v>
      </c>
      <c r="AG23" s="746">
        <v>43973</v>
      </c>
      <c r="AH23" s="46"/>
      <c r="AI23" s="24"/>
      <c r="AJ23" s="1107"/>
    </row>
    <row r="24" spans="1:36" ht="26.25" x14ac:dyDescent="0.25">
      <c r="A24" s="1042"/>
      <c r="B24" s="346"/>
      <c r="C24" s="258"/>
      <c r="D24" s="778"/>
      <c r="E24" s="778"/>
      <c r="F24" s="259"/>
      <c r="G24" s="259"/>
      <c r="H24" s="258"/>
      <c r="I24" s="259"/>
      <c r="J24" s="1122"/>
      <c r="K24" s="257"/>
      <c r="L24" s="462"/>
      <c r="M24" s="953"/>
      <c r="N24" s="953"/>
      <c r="O24" s="258"/>
      <c r="P24" s="258"/>
      <c r="Q24" s="462"/>
      <c r="R24" s="373"/>
      <c r="S24" s="42" t="s">
        <v>92</v>
      </c>
      <c r="T24" s="43" t="s">
        <v>4786</v>
      </c>
      <c r="U24" s="24">
        <v>1204</v>
      </c>
      <c r="V24" s="24"/>
      <c r="W24" s="24"/>
      <c r="X24" s="24">
        <v>1028</v>
      </c>
      <c r="Y24" s="24"/>
      <c r="Z24" s="24"/>
      <c r="AA24" s="24" t="s">
        <v>10</v>
      </c>
      <c r="AB24" s="24" t="s">
        <v>16</v>
      </c>
      <c r="AC24" s="24">
        <v>2</v>
      </c>
      <c r="AD24" s="45" t="s">
        <v>124</v>
      </c>
      <c r="AE24" s="46" t="s">
        <v>320</v>
      </c>
      <c r="AF24" s="46" t="s">
        <v>37</v>
      </c>
      <c r="AG24" s="746">
        <v>43973</v>
      </c>
      <c r="AH24" s="46"/>
      <c r="AI24" s="24"/>
      <c r="AJ24" s="1107"/>
    </row>
    <row r="25" spans="1:36" ht="26.25" x14ac:dyDescent="0.25">
      <c r="A25" s="1042"/>
      <c r="B25" s="346"/>
      <c r="C25" s="258"/>
      <c r="D25" s="778"/>
      <c r="E25" s="778"/>
      <c r="F25" s="259"/>
      <c r="G25" s="259"/>
      <c r="H25" s="258"/>
      <c r="I25" s="259"/>
      <c r="J25" s="1122"/>
      <c r="K25" s="257"/>
      <c r="L25" s="462"/>
      <c r="M25" s="953"/>
      <c r="N25" s="953"/>
      <c r="O25" s="258"/>
      <c r="P25" s="258"/>
      <c r="Q25" s="462"/>
      <c r="R25" s="373"/>
      <c r="S25" s="42" t="s">
        <v>99</v>
      </c>
      <c r="T25" s="43" t="s">
        <v>4787</v>
      </c>
      <c r="U25" s="24">
        <v>1308</v>
      </c>
      <c r="V25" s="24"/>
      <c r="W25" s="24"/>
      <c r="X25" s="24">
        <v>1228</v>
      </c>
      <c r="Y25" s="24"/>
      <c r="Z25" s="24"/>
      <c r="AA25" s="24" t="s">
        <v>10</v>
      </c>
      <c r="AB25" s="24" t="s">
        <v>16</v>
      </c>
      <c r="AC25" s="24">
        <v>2</v>
      </c>
      <c r="AD25" s="45" t="s">
        <v>124</v>
      </c>
      <c r="AE25" s="46" t="s">
        <v>320</v>
      </c>
      <c r="AF25" s="46" t="s">
        <v>37</v>
      </c>
      <c r="AG25" s="746">
        <v>43973</v>
      </c>
      <c r="AH25" s="46"/>
      <c r="AI25" s="24"/>
      <c r="AJ25" s="1107"/>
    </row>
    <row r="26" spans="1:36" ht="26.25" x14ac:dyDescent="0.25">
      <c r="A26" s="1042"/>
      <c r="B26" s="346"/>
      <c r="C26" s="258"/>
      <c r="D26" s="778"/>
      <c r="E26" s="778"/>
      <c r="F26" s="259"/>
      <c r="G26" s="259"/>
      <c r="H26" s="258"/>
      <c r="I26" s="259"/>
      <c r="J26" s="1122"/>
      <c r="K26" s="257"/>
      <c r="L26" s="462"/>
      <c r="M26" s="953"/>
      <c r="N26" s="953"/>
      <c r="O26" s="258"/>
      <c r="P26" s="258"/>
      <c r="Q26" s="462"/>
      <c r="R26" s="373"/>
      <c r="S26" s="42" t="s">
        <v>100</v>
      </c>
      <c r="T26" s="43" t="s">
        <v>4788</v>
      </c>
      <c r="U26" s="24">
        <v>1847</v>
      </c>
      <c r="V26" s="24"/>
      <c r="W26" s="24"/>
      <c r="X26" s="24">
        <v>1726</v>
      </c>
      <c r="Y26" s="24"/>
      <c r="Z26" s="24"/>
      <c r="AA26" s="24" t="s">
        <v>10</v>
      </c>
      <c r="AB26" s="24" t="s">
        <v>16</v>
      </c>
      <c r="AC26" s="24">
        <v>2</v>
      </c>
      <c r="AD26" s="45" t="s">
        <v>124</v>
      </c>
      <c r="AE26" s="46" t="s">
        <v>320</v>
      </c>
      <c r="AF26" s="46" t="s">
        <v>37</v>
      </c>
      <c r="AG26" s="746">
        <v>43973</v>
      </c>
      <c r="AH26" s="46"/>
      <c r="AI26" s="24"/>
      <c r="AJ26" s="1107"/>
    </row>
    <row r="27" spans="1:36" ht="26.25" x14ac:dyDescent="0.25">
      <c r="A27" s="1042"/>
      <c r="B27" s="346"/>
      <c r="C27" s="258"/>
      <c r="D27" s="778"/>
      <c r="E27" s="778"/>
      <c r="F27" s="259"/>
      <c r="G27" s="259"/>
      <c r="H27" s="258"/>
      <c r="I27" s="259"/>
      <c r="J27" s="1122"/>
      <c r="K27" s="257"/>
      <c r="L27" s="462"/>
      <c r="M27" s="953"/>
      <c r="N27" s="953"/>
      <c r="O27" s="258"/>
      <c r="P27" s="258"/>
      <c r="Q27" s="462"/>
      <c r="R27" s="373"/>
      <c r="S27" s="42" t="s">
        <v>101</v>
      </c>
      <c r="T27" s="43" t="s">
        <v>4789</v>
      </c>
      <c r="U27" s="24">
        <v>2221</v>
      </c>
      <c r="V27" s="24"/>
      <c r="W27" s="24"/>
      <c r="X27" s="24">
        <v>2039</v>
      </c>
      <c r="Y27" s="24"/>
      <c r="Z27" s="24"/>
      <c r="AA27" s="24" t="s">
        <v>10</v>
      </c>
      <c r="AB27" s="24" t="s">
        <v>16</v>
      </c>
      <c r="AC27" s="24">
        <v>2</v>
      </c>
      <c r="AD27" s="45" t="s">
        <v>124</v>
      </c>
      <c r="AE27" s="46" t="s">
        <v>320</v>
      </c>
      <c r="AF27" s="46" t="s">
        <v>37</v>
      </c>
      <c r="AG27" s="746">
        <v>43973</v>
      </c>
      <c r="AH27" s="46"/>
      <c r="AI27" s="24"/>
      <c r="AJ27" s="1107"/>
    </row>
    <row r="28" spans="1:36" ht="26.25" x14ac:dyDescent="0.25">
      <c r="A28" s="1042"/>
      <c r="B28" s="346"/>
      <c r="C28" s="258"/>
      <c r="D28" s="778"/>
      <c r="E28" s="778"/>
      <c r="F28" s="259"/>
      <c r="G28" s="259"/>
      <c r="H28" s="258"/>
      <c r="I28" s="259"/>
      <c r="J28" s="1122"/>
      <c r="K28" s="257"/>
      <c r="L28" s="462"/>
      <c r="M28" s="953"/>
      <c r="N28" s="953"/>
      <c r="O28" s="258"/>
      <c r="P28" s="258"/>
      <c r="Q28" s="462"/>
      <c r="R28" s="373"/>
      <c r="S28" s="42" t="s">
        <v>102</v>
      </c>
      <c r="T28" s="43" t="s">
        <v>4790</v>
      </c>
      <c r="U28" s="24">
        <v>2445</v>
      </c>
      <c r="V28" s="24"/>
      <c r="W28" s="24"/>
      <c r="X28" s="24">
        <v>2249</v>
      </c>
      <c r="Y28" s="24"/>
      <c r="Z28" s="24"/>
      <c r="AA28" s="24" t="s">
        <v>10</v>
      </c>
      <c r="AB28" s="24" t="s">
        <v>16</v>
      </c>
      <c r="AC28" s="24">
        <v>2</v>
      </c>
      <c r="AD28" s="45" t="s">
        <v>124</v>
      </c>
      <c r="AE28" s="46" t="s">
        <v>320</v>
      </c>
      <c r="AF28" s="46" t="s">
        <v>37</v>
      </c>
      <c r="AG28" s="746">
        <v>43973</v>
      </c>
      <c r="AH28" s="46"/>
      <c r="AI28" s="24"/>
      <c r="AJ28" s="1107"/>
    </row>
    <row r="29" spans="1:36" ht="26.25" x14ac:dyDescent="0.25">
      <c r="A29" s="1042"/>
      <c r="B29" s="346"/>
      <c r="C29" s="258"/>
      <c r="D29" s="778"/>
      <c r="E29" s="778"/>
      <c r="F29" s="259"/>
      <c r="G29" s="259"/>
      <c r="H29" s="258"/>
      <c r="I29" s="259"/>
      <c r="J29" s="1122"/>
      <c r="K29" s="257"/>
      <c r="L29" s="462"/>
      <c r="M29" s="953"/>
      <c r="N29" s="953"/>
      <c r="O29" s="258"/>
      <c r="P29" s="258"/>
      <c r="Q29" s="462"/>
      <c r="R29" s="373"/>
      <c r="S29" s="42" t="s">
        <v>103</v>
      </c>
      <c r="T29" s="43" t="s">
        <v>4791</v>
      </c>
      <c r="U29" s="24">
        <v>2802</v>
      </c>
      <c r="V29" s="24"/>
      <c r="W29" s="24"/>
      <c r="X29" s="24">
        <v>2730</v>
      </c>
      <c r="Y29" s="24"/>
      <c r="Z29" s="24"/>
      <c r="AA29" s="24" t="s">
        <v>10</v>
      </c>
      <c r="AB29" s="24" t="s">
        <v>16</v>
      </c>
      <c r="AC29" s="24">
        <v>2</v>
      </c>
      <c r="AD29" s="45" t="s">
        <v>124</v>
      </c>
      <c r="AE29" s="46" t="s">
        <v>320</v>
      </c>
      <c r="AF29" s="46" t="s">
        <v>37</v>
      </c>
      <c r="AG29" s="746">
        <v>43973</v>
      </c>
      <c r="AH29" s="46"/>
      <c r="AI29" s="24"/>
      <c r="AJ29" s="1107"/>
    </row>
    <row r="30" spans="1:36" ht="26.25" x14ac:dyDescent="0.25">
      <c r="A30" s="1042"/>
      <c r="B30" s="346"/>
      <c r="C30" s="258"/>
      <c r="D30" s="778"/>
      <c r="E30" s="778"/>
      <c r="F30" s="259"/>
      <c r="G30" s="259"/>
      <c r="H30" s="258"/>
      <c r="I30" s="259"/>
      <c r="J30" s="1122"/>
      <c r="K30" s="257"/>
      <c r="L30" s="462"/>
      <c r="M30" s="953"/>
      <c r="N30" s="953"/>
      <c r="O30" s="258"/>
      <c r="P30" s="258"/>
      <c r="Q30" s="462"/>
      <c r="R30" s="373"/>
      <c r="S30" s="42" t="s">
        <v>104</v>
      </c>
      <c r="T30" s="43" t="s">
        <v>4792</v>
      </c>
      <c r="U30" s="24">
        <v>2952</v>
      </c>
      <c r="V30" s="24"/>
      <c r="W30" s="24"/>
      <c r="X30" s="24">
        <v>2861</v>
      </c>
      <c r="Y30" s="24"/>
      <c r="Z30" s="24"/>
      <c r="AA30" s="24" t="s">
        <v>10</v>
      </c>
      <c r="AB30" s="24" t="s">
        <v>16</v>
      </c>
      <c r="AC30" s="24">
        <v>2</v>
      </c>
      <c r="AD30" s="45" t="s">
        <v>124</v>
      </c>
      <c r="AE30" s="46" t="s">
        <v>320</v>
      </c>
      <c r="AF30" s="46" t="s">
        <v>37</v>
      </c>
      <c r="AG30" s="746">
        <v>43973</v>
      </c>
      <c r="AH30" s="46"/>
      <c r="AI30" s="24"/>
      <c r="AJ30" s="1107"/>
    </row>
    <row r="31" spans="1:36" ht="26.25" x14ac:dyDescent="0.25">
      <c r="A31" s="1042"/>
      <c r="B31" s="346"/>
      <c r="C31" s="258"/>
      <c r="D31" s="778"/>
      <c r="E31" s="778"/>
      <c r="F31" s="259"/>
      <c r="G31" s="259"/>
      <c r="H31" s="258"/>
      <c r="I31" s="259"/>
      <c r="J31" s="1122"/>
      <c r="K31" s="257"/>
      <c r="L31" s="462"/>
      <c r="M31" s="953"/>
      <c r="N31" s="953"/>
      <c r="O31" s="258"/>
      <c r="P31" s="258"/>
      <c r="Q31" s="462"/>
      <c r="R31" s="373"/>
      <c r="S31" s="42" t="s">
        <v>105</v>
      </c>
      <c r="T31" s="43" t="s">
        <v>4793</v>
      </c>
      <c r="U31" s="24">
        <v>3404</v>
      </c>
      <c r="V31" s="24"/>
      <c r="W31" s="24"/>
      <c r="X31" s="24">
        <v>3226</v>
      </c>
      <c r="Y31" s="24"/>
      <c r="Z31" s="24"/>
      <c r="AA31" s="24" t="s">
        <v>10</v>
      </c>
      <c r="AB31" s="24" t="s">
        <v>16</v>
      </c>
      <c r="AC31" s="24">
        <v>2</v>
      </c>
      <c r="AD31" s="45" t="s">
        <v>124</v>
      </c>
      <c r="AE31" s="46" t="s">
        <v>320</v>
      </c>
      <c r="AF31" s="46" t="s">
        <v>37</v>
      </c>
      <c r="AG31" s="746">
        <v>43973</v>
      </c>
      <c r="AH31" s="46"/>
      <c r="AI31" s="24"/>
      <c r="AJ31" s="1107"/>
    </row>
    <row r="32" spans="1:36" ht="26.25" x14ac:dyDescent="0.25">
      <c r="A32" s="1042"/>
      <c r="B32" s="346"/>
      <c r="C32" s="258"/>
      <c r="D32" s="778"/>
      <c r="E32" s="778"/>
      <c r="F32" s="259"/>
      <c r="G32" s="259"/>
      <c r="H32" s="258"/>
      <c r="I32" s="259"/>
      <c r="J32" s="1122"/>
      <c r="K32" s="257"/>
      <c r="L32" s="462"/>
      <c r="M32" s="953"/>
      <c r="N32" s="953"/>
      <c r="O32" s="258"/>
      <c r="P32" s="258"/>
      <c r="Q32" s="462"/>
      <c r="R32" s="373"/>
      <c r="S32" s="42" t="s">
        <v>106</v>
      </c>
      <c r="T32" s="43" t="s">
        <v>4794</v>
      </c>
      <c r="U32" s="24">
        <v>3798</v>
      </c>
      <c r="V32" s="24"/>
      <c r="W32" s="24"/>
      <c r="X32" s="24">
        <v>3610</v>
      </c>
      <c r="Y32" s="24"/>
      <c r="Z32" s="24"/>
      <c r="AA32" s="24" t="s">
        <v>10</v>
      </c>
      <c r="AB32" s="24" t="s">
        <v>16</v>
      </c>
      <c r="AC32" s="24">
        <v>2</v>
      </c>
      <c r="AD32" s="45" t="s">
        <v>124</v>
      </c>
      <c r="AE32" s="46" t="s">
        <v>320</v>
      </c>
      <c r="AF32" s="46" t="s">
        <v>37</v>
      </c>
      <c r="AG32" s="746">
        <v>43973</v>
      </c>
      <c r="AH32" s="46"/>
      <c r="AI32" s="24"/>
      <c r="AJ32" s="1107"/>
    </row>
    <row r="33" spans="1:36" ht="26.25" x14ac:dyDescent="0.25">
      <c r="A33" s="1042"/>
      <c r="B33" s="346"/>
      <c r="C33" s="258"/>
      <c r="D33" s="778"/>
      <c r="E33" s="778"/>
      <c r="F33" s="259"/>
      <c r="G33" s="259"/>
      <c r="H33" s="258"/>
      <c r="I33" s="259"/>
      <c r="J33" s="1122"/>
      <c r="K33" s="257"/>
      <c r="L33" s="462"/>
      <c r="M33" s="953"/>
      <c r="N33" s="953"/>
      <c r="O33" s="258"/>
      <c r="P33" s="258"/>
      <c r="Q33" s="462"/>
      <c r="R33" s="373"/>
      <c r="S33" s="42" t="s">
        <v>107</v>
      </c>
      <c r="T33" s="43" t="s">
        <v>4795</v>
      </c>
      <c r="U33" s="24">
        <v>4287</v>
      </c>
      <c r="V33" s="24"/>
      <c r="W33" s="24"/>
      <c r="X33" s="24">
        <v>3896</v>
      </c>
      <c r="Y33" s="24"/>
      <c r="Z33" s="24"/>
      <c r="AA33" s="24" t="s">
        <v>10</v>
      </c>
      <c r="AB33" s="24" t="s">
        <v>16</v>
      </c>
      <c r="AC33" s="24">
        <v>2</v>
      </c>
      <c r="AD33" s="45" t="s">
        <v>124</v>
      </c>
      <c r="AE33" s="46" t="s">
        <v>320</v>
      </c>
      <c r="AF33" s="46" t="s">
        <v>37</v>
      </c>
      <c r="AG33" s="746">
        <v>43973</v>
      </c>
      <c r="AH33" s="46"/>
      <c r="AI33" s="24"/>
      <c r="AJ33" s="1107"/>
    </row>
    <row r="34" spans="1:36" ht="26.25" x14ac:dyDescent="0.25">
      <c r="A34" s="1042"/>
      <c r="B34" s="346"/>
      <c r="C34" s="258"/>
      <c r="D34" s="778"/>
      <c r="E34" s="778"/>
      <c r="F34" s="259"/>
      <c r="G34" s="259"/>
      <c r="H34" s="258"/>
      <c r="I34" s="259"/>
      <c r="J34" s="1122"/>
      <c r="K34" s="257"/>
      <c r="L34" s="462"/>
      <c r="M34" s="953"/>
      <c r="N34" s="953"/>
      <c r="O34" s="258"/>
      <c r="P34" s="258"/>
      <c r="Q34" s="462"/>
      <c r="R34" s="373"/>
      <c r="S34" s="42" t="s">
        <v>108</v>
      </c>
      <c r="T34" s="43" t="s">
        <v>4796</v>
      </c>
      <c r="U34" s="24">
        <v>4489</v>
      </c>
      <c r="V34" s="24"/>
      <c r="W34" s="24"/>
      <c r="X34" s="24">
        <v>4321</v>
      </c>
      <c r="Y34" s="24"/>
      <c r="Z34" s="24"/>
      <c r="AA34" s="24" t="s">
        <v>10</v>
      </c>
      <c r="AB34" s="24" t="s">
        <v>16</v>
      </c>
      <c r="AC34" s="24">
        <v>2</v>
      </c>
      <c r="AD34" s="45" t="s">
        <v>124</v>
      </c>
      <c r="AE34" s="46" t="s">
        <v>320</v>
      </c>
      <c r="AF34" s="46" t="s">
        <v>37</v>
      </c>
      <c r="AG34" s="746">
        <v>43973</v>
      </c>
      <c r="AH34" s="46"/>
      <c r="AI34" s="24"/>
      <c r="AJ34" s="1107"/>
    </row>
    <row r="35" spans="1:36" ht="26.25" x14ac:dyDescent="0.25">
      <c r="A35" s="1042"/>
      <c r="B35" s="346"/>
      <c r="C35" s="258"/>
      <c r="D35" s="778"/>
      <c r="E35" s="778"/>
      <c r="F35" s="259"/>
      <c r="G35" s="259"/>
      <c r="H35" s="258"/>
      <c r="I35" s="259"/>
      <c r="J35" s="1122"/>
      <c r="K35" s="257"/>
      <c r="L35" s="462"/>
      <c r="M35" s="953"/>
      <c r="N35" s="953"/>
      <c r="O35" s="258"/>
      <c r="P35" s="258"/>
      <c r="Q35" s="462"/>
      <c r="R35" s="373"/>
      <c r="S35" s="42" t="s">
        <v>109</v>
      </c>
      <c r="T35" s="43" t="s">
        <v>4797</v>
      </c>
      <c r="U35" s="24">
        <v>4807</v>
      </c>
      <c r="V35" s="24"/>
      <c r="W35" s="24"/>
      <c r="X35" s="24">
        <v>4610</v>
      </c>
      <c r="Y35" s="24"/>
      <c r="Z35" s="24"/>
      <c r="AA35" s="24" t="s">
        <v>10</v>
      </c>
      <c r="AB35" s="24" t="s">
        <v>16</v>
      </c>
      <c r="AC35" s="24">
        <v>2</v>
      </c>
      <c r="AD35" s="45" t="s">
        <v>124</v>
      </c>
      <c r="AE35" s="46" t="s">
        <v>320</v>
      </c>
      <c r="AF35" s="46" t="s">
        <v>37</v>
      </c>
      <c r="AG35" s="746">
        <v>43973</v>
      </c>
      <c r="AH35" s="46"/>
      <c r="AI35" s="24"/>
      <c r="AJ35" s="1107"/>
    </row>
    <row r="36" spans="1:36" ht="26.25" x14ac:dyDescent="0.25">
      <c r="A36" s="1042"/>
      <c r="B36" s="346"/>
      <c r="C36" s="258"/>
      <c r="D36" s="778"/>
      <c r="E36" s="778"/>
      <c r="F36" s="259"/>
      <c r="G36" s="259"/>
      <c r="H36" s="258"/>
      <c r="I36" s="259"/>
      <c r="J36" s="1122"/>
      <c r="K36" s="257"/>
      <c r="L36" s="462"/>
      <c r="M36" s="953"/>
      <c r="N36" s="953"/>
      <c r="O36" s="258"/>
      <c r="P36" s="258"/>
      <c r="Q36" s="462"/>
      <c r="R36" s="373"/>
      <c r="S36" s="42" t="s">
        <v>110</v>
      </c>
      <c r="T36" s="43" t="s">
        <v>4798</v>
      </c>
      <c r="U36" s="24">
        <v>5209</v>
      </c>
      <c r="V36" s="24"/>
      <c r="W36" s="24"/>
      <c r="X36" s="24">
        <v>4913</v>
      </c>
      <c r="Y36" s="24"/>
      <c r="Z36" s="24"/>
      <c r="AA36" s="24" t="s">
        <v>10</v>
      </c>
      <c r="AB36" s="24" t="s">
        <v>16</v>
      </c>
      <c r="AC36" s="24">
        <v>2</v>
      </c>
      <c r="AD36" s="45" t="s">
        <v>124</v>
      </c>
      <c r="AE36" s="46" t="s">
        <v>320</v>
      </c>
      <c r="AF36" s="46" t="s">
        <v>37</v>
      </c>
      <c r="AG36" s="746">
        <v>43973</v>
      </c>
      <c r="AH36" s="46"/>
      <c r="AI36" s="24"/>
      <c r="AJ36" s="1107"/>
    </row>
    <row r="37" spans="1:36" ht="26.25" x14ac:dyDescent="0.25">
      <c r="A37" s="1042"/>
      <c r="B37" s="346"/>
      <c r="C37" s="258"/>
      <c r="D37" s="778"/>
      <c r="E37" s="778"/>
      <c r="F37" s="259"/>
      <c r="G37" s="259"/>
      <c r="H37" s="258"/>
      <c r="I37" s="259"/>
      <c r="J37" s="1122"/>
      <c r="K37" s="257"/>
      <c r="L37" s="462"/>
      <c r="M37" s="953"/>
      <c r="N37" s="953"/>
      <c r="O37" s="258"/>
      <c r="P37" s="258"/>
      <c r="Q37" s="462"/>
      <c r="R37" s="373"/>
      <c r="S37" s="42" t="s">
        <v>111</v>
      </c>
      <c r="T37" s="43" t="s">
        <v>4799</v>
      </c>
      <c r="U37" s="24">
        <v>5629</v>
      </c>
      <c r="V37" s="24"/>
      <c r="W37" s="24"/>
      <c r="X37" s="24">
        <v>5502</v>
      </c>
      <c r="Y37" s="24"/>
      <c r="Z37" s="24"/>
      <c r="AA37" s="24" t="s">
        <v>10</v>
      </c>
      <c r="AB37" s="24" t="s">
        <v>16</v>
      </c>
      <c r="AC37" s="24">
        <v>2</v>
      </c>
      <c r="AD37" s="45" t="s">
        <v>124</v>
      </c>
      <c r="AE37" s="46" t="s">
        <v>320</v>
      </c>
      <c r="AF37" s="46" t="s">
        <v>37</v>
      </c>
      <c r="AG37" s="746">
        <v>43973</v>
      </c>
      <c r="AH37" s="46"/>
      <c r="AI37" s="24"/>
      <c r="AJ37" s="1107"/>
    </row>
    <row r="38" spans="1:36" ht="26.25" x14ac:dyDescent="0.25">
      <c r="A38" s="1042"/>
      <c r="B38" s="346"/>
      <c r="C38" s="258"/>
      <c r="D38" s="778"/>
      <c r="E38" s="778"/>
      <c r="F38" s="259"/>
      <c r="G38" s="259"/>
      <c r="H38" s="258"/>
      <c r="I38" s="259"/>
      <c r="J38" s="1122"/>
      <c r="K38" s="257"/>
      <c r="L38" s="462"/>
      <c r="M38" s="953"/>
      <c r="N38" s="953"/>
      <c r="O38" s="258"/>
      <c r="P38" s="258"/>
      <c r="Q38" s="462"/>
      <c r="R38" s="373"/>
      <c r="S38" s="42" t="s">
        <v>112</v>
      </c>
      <c r="T38" s="43" t="s">
        <v>4800</v>
      </c>
      <c r="U38" s="24">
        <v>5897</v>
      </c>
      <c r="V38" s="24"/>
      <c r="W38" s="24"/>
      <c r="X38" s="24">
        <v>5708</v>
      </c>
      <c r="Y38" s="24"/>
      <c r="Z38" s="24"/>
      <c r="AA38" s="24" t="s">
        <v>10</v>
      </c>
      <c r="AB38" s="24" t="s">
        <v>16</v>
      </c>
      <c r="AC38" s="24">
        <v>2</v>
      </c>
      <c r="AD38" s="45" t="s">
        <v>124</v>
      </c>
      <c r="AE38" s="46" t="s">
        <v>320</v>
      </c>
      <c r="AF38" s="46" t="s">
        <v>37</v>
      </c>
      <c r="AG38" s="746">
        <v>43973</v>
      </c>
      <c r="AH38" s="46"/>
      <c r="AI38" s="24"/>
      <c r="AJ38" s="1107"/>
    </row>
    <row r="39" spans="1:36" ht="26.25" x14ac:dyDescent="0.25">
      <c r="A39" s="1042"/>
      <c r="B39" s="346"/>
      <c r="C39" s="258"/>
      <c r="D39" s="778"/>
      <c r="E39" s="778"/>
      <c r="F39" s="259"/>
      <c r="G39" s="259"/>
      <c r="H39" s="258"/>
      <c r="I39" s="259"/>
      <c r="J39" s="1122"/>
      <c r="K39" s="257"/>
      <c r="L39" s="462"/>
      <c r="M39" s="953"/>
      <c r="N39" s="953"/>
      <c r="O39" s="258"/>
      <c r="P39" s="258"/>
      <c r="Q39" s="462"/>
      <c r="R39" s="373"/>
      <c r="S39" s="42" t="s">
        <v>113</v>
      </c>
      <c r="T39" s="43" t="s">
        <v>4801</v>
      </c>
      <c r="U39" s="24">
        <v>6190</v>
      </c>
      <c r="V39" s="24"/>
      <c r="W39" s="24"/>
      <c r="X39" s="24">
        <v>6012</v>
      </c>
      <c r="Y39" s="24"/>
      <c r="Z39" s="24"/>
      <c r="AA39" s="24" t="s">
        <v>10</v>
      </c>
      <c r="AB39" s="24" t="s">
        <v>16</v>
      </c>
      <c r="AC39" s="24">
        <v>2</v>
      </c>
      <c r="AD39" s="45" t="s">
        <v>124</v>
      </c>
      <c r="AE39" s="46" t="s">
        <v>320</v>
      </c>
      <c r="AF39" s="46" t="s">
        <v>37</v>
      </c>
      <c r="AG39" s="746">
        <v>43973</v>
      </c>
      <c r="AH39" s="46"/>
      <c r="AI39" s="24"/>
      <c r="AJ39" s="1107"/>
    </row>
    <row r="40" spans="1:36" ht="26.25" x14ac:dyDescent="0.25">
      <c r="A40" s="1042"/>
      <c r="B40" s="346"/>
      <c r="C40" s="258"/>
      <c r="D40" s="778"/>
      <c r="E40" s="778"/>
      <c r="F40" s="259"/>
      <c r="G40" s="259"/>
      <c r="H40" s="258"/>
      <c r="I40" s="259"/>
      <c r="J40" s="1122"/>
      <c r="K40" s="257"/>
      <c r="L40" s="462"/>
      <c r="M40" s="953"/>
      <c r="N40" s="953"/>
      <c r="O40" s="258"/>
      <c r="P40" s="258"/>
      <c r="Q40" s="462"/>
      <c r="R40" s="373"/>
      <c r="S40" s="42" t="s">
        <v>114</v>
      </c>
      <c r="T40" s="43" t="s">
        <v>4802</v>
      </c>
      <c r="U40" s="24">
        <v>6386</v>
      </c>
      <c r="V40" s="24"/>
      <c r="W40" s="24"/>
      <c r="X40" s="24">
        <v>6239</v>
      </c>
      <c r="Y40" s="24"/>
      <c r="Z40" s="24"/>
      <c r="AA40" s="24" t="s">
        <v>10</v>
      </c>
      <c r="AB40" s="24" t="s">
        <v>16</v>
      </c>
      <c r="AC40" s="24">
        <v>2</v>
      </c>
      <c r="AD40" s="45" t="s">
        <v>124</v>
      </c>
      <c r="AE40" s="46" t="s">
        <v>320</v>
      </c>
      <c r="AF40" s="46" t="s">
        <v>37</v>
      </c>
      <c r="AG40" s="746">
        <v>43973</v>
      </c>
      <c r="AH40" s="46"/>
      <c r="AI40" s="24"/>
      <c r="AJ40" s="1107"/>
    </row>
    <row r="41" spans="1:36" ht="26.25" x14ac:dyDescent="0.25">
      <c r="A41" s="1042"/>
      <c r="B41" s="346"/>
      <c r="C41" s="258"/>
      <c r="D41" s="778"/>
      <c r="E41" s="778"/>
      <c r="F41" s="259"/>
      <c r="G41" s="259"/>
      <c r="H41" s="258"/>
      <c r="I41" s="259"/>
      <c r="J41" s="1122"/>
      <c r="K41" s="257"/>
      <c r="L41" s="462"/>
      <c r="M41" s="953"/>
      <c r="N41" s="953"/>
      <c r="O41" s="258"/>
      <c r="P41" s="258"/>
      <c r="Q41" s="462"/>
      <c r="R41" s="373"/>
      <c r="S41" s="42" t="s">
        <v>115</v>
      </c>
      <c r="T41" s="43" t="s">
        <v>4803</v>
      </c>
      <c r="U41" s="24">
        <v>6657</v>
      </c>
      <c r="V41" s="24"/>
      <c r="W41" s="24"/>
      <c r="X41" s="24">
        <v>6543</v>
      </c>
      <c r="Y41" s="24"/>
      <c r="Z41" s="24"/>
      <c r="AA41" s="24" t="s">
        <v>10</v>
      </c>
      <c r="AB41" s="24" t="s">
        <v>16</v>
      </c>
      <c r="AC41" s="24">
        <v>2</v>
      </c>
      <c r="AD41" s="45" t="s">
        <v>124</v>
      </c>
      <c r="AE41" s="46" t="s">
        <v>320</v>
      </c>
      <c r="AF41" s="46" t="s">
        <v>37</v>
      </c>
      <c r="AG41" s="746">
        <v>43973</v>
      </c>
      <c r="AH41" s="46"/>
      <c r="AI41" s="24"/>
      <c r="AJ41" s="1107"/>
    </row>
    <row r="42" spans="1:36" ht="26.25" x14ac:dyDescent="0.25">
      <c r="A42" s="1042"/>
      <c r="B42" s="346"/>
      <c r="C42" s="258"/>
      <c r="D42" s="778"/>
      <c r="E42" s="778"/>
      <c r="F42" s="259"/>
      <c r="G42" s="259"/>
      <c r="H42" s="258"/>
      <c r="I42" s="259"/>
      <c r="J42" s="1122"/>
      <c r="K42" s="257"/>
      <c r="L42" s="462"/>
      <c r="M42" s="953"/>
      <c r="N42" s="953"/>
      <c r="O42" s="258"/>
      <c r="P42" s="258"/>
      <c r="Q42" s="462"/>
      <c r="R42" s="373"/>
      <c r="S42" s="42" t="s">
        <v>116</v>
      </c>
      <c r="T42" s="43" t="s">
        <v>4804</v>
      </c>
      <c r="U42" s="24">
        <v>6973</v>
      </c>
      <c r="V42" s="24"/>
      <c r="W42" s="24"/>
      <c r="X42" s="24">
        <v>6815</v>
      </c>
      <c r="Y42" s="24"/>
      <c r="Z42" s="24"/>
      <c r="AA42" s="24" t="s">
        <v>10</v>
      </c>
      <c r="AB42" s="24" t="s">
        <v>16</v>
      </c>
      <c r="AC42" s="24">
        <v>2</v>
      </c>
      <c r="AD42" s="45" t="s">
        <v>124</v>
      </c>
      <c r="AE42" s="46" t="s">
        <v>320</v>
      </c>
      <c r="AF42" s="46" t="s">
        <v>37</v>
      </c>
      <c r="AG42" s="746">
        <v>43973</v>
      </c>
      <c r="AH42" s="46"/>
      <c r="AI42" s="24"/>
      <c r="AJ42" s="1107"/>
    </row>
    <row r="43" spans="1:36" ht="26.25" x14ac:dyDescent="0.25">
      <c r="A43" s="1042"/>
      <c r="B43" s="346"/>
      <c r="C43" s="258"/>
      <c r="D43" s="778"/>
      <c r="E43" s="778"/>
      <c r="F43" s="259"/>
      <c r="G43" s="259"/>
      <c r="H43" s="258"/>
      <c r="I43" s="259"/>
      <c r="J43" s="1122"/>
      <c r="K43" s="257"/>
      <c r="L43" s="462"/>
      <c r="M43" s="953"/>
      <c r="N43" s="953"/>
      <c r="O43" s="258"/>
      <c r="P43" s="258"/>
      <c r="Q43" s="462"/>
      <c r="R43" s="373"/>
      <c r="S43" s="42" t="s">
        <v>117</v>
      </c>
      <c r="T43" s="43" t="s">
        <v>4805</v>
      </c>
      <c r="U43" s="24">
        <v>7435</v>
      </c>
      <c r="V43" s="24"/>
      <c r="W43" s="24"/>
      <c r="X43" s="24">
        <v>7027</v>
      </c>
      <c r="Y43" s="24"/>
      <c r="Z43" s="24"/>
      <c r="AA43" s="24" t="s">
        <v>10</v>
      </c>
      <c r="AB43" s="24" t="s">
        <v>16</v>
      </c>
      <c r="AC43" s="24">
        <v>2</v>
      </c>
      <c r="AD43" s="45" t="s">
        <v>124</v>
      </c>
      <c r="AE43" s="46" t="s">
        <v>320</v>
      </c>
      <c r="AF43" s="46" t="s">
        <v>37</v>
      </c>
      <c r="AG43" s="746">
        <v>43973</v>
      </c>
      <c r="AH43" s="46"/>
      <c r="AI43" s="24"/>
      <c r="AJ43" s="1107"/>
    </row>
    <row r="44" spans="1:36" ht="26.25" x14ac:dyDescent="0.25">
      <c r="A44" s="1042"/>
      <c r="B44" s="346"/>
      <c r="C44" s="258"/>
      <c r="D44" s="778"/>
      <c r="E44" s="778"/>
      <c r="F44" s="259"/>
      <c r="G44" s="259"/>
      <c r="H44" s="258"/>
      <c r="I44" s="259"/>
      <c r="J44" s="1122"/>
      <c r="K44" s="257"/>
      <c r="L44" s="462"/>
      <c r="M44" s="953"/>
      <c r="N44" s="953"/>
      <c r="O44" s="258"/>
      <c r="P44" s="258"/>
      <c r="Q44" s="462"/>
      <c r="R44" s="373"/>
      <c r="S44" s="42" t="s">
        <v>118</v>
      </c>
      <c r="T44" s="43" t="s">
        <v>4806</v>
      </c>
      <c r="U44" s="24">
        <v>7718</v>
      </c>
      <c r="V44" s="24"/>
      <c r="W44" s="24"/>
      <c r="X44" s="24">
        <v>7388</v>
      </c>
      <c r="Y44" s="24"/>
      <c r="Z44" s="24"/>
      <c r="AA44" s="24" t="s">
        <v>10</v>
      </c>
      <c r="AB44" s="24" t="s">
        <v>16</v>
      </c>
      <c r="AC44" s="24">
        <v>2</v>
      </c>
      <c r="AD44" s="45" t="s">
        <v>124</v>
      </c>
      <c r="AE44" s="46" t="s">
        <v>320</v>
      </c>
      <c r="AF44" s="46" t="s">
        <v>37</v>
      </c>
      <c r="AG44" s="746">
        <v>43973</v>
      </c>
      <c r="AH44" s="46"/>
      <c r="AI44" s="24"/>
      <c r="AJ44" s="1107"/>
    </row>
    <row r="45" spans="1:36" ht="27" thickBot="1" x14ac:dyDescent="0.3">
      <c r="A45" s="1042"/>
      <c r="B45" s="346"/>
      <c r="C45" s="258"/>
      <c r="D45" s="778"/>
      <c r="E45" s="778"/>
      <c r="F45" s="259"/>
      <c r="G45" s="259"/>
      <c r="H45" s="258"/>
      <c r="I45" s="259"/>
      <c r="J45" s="1122"/>
      <c r="K45" s="260"/>
      <c r="L45" s="363"/>
      <c r="M45" s="954"/>
      <c r="N45" s="954"/>
      <c r="O45" s="261"/>
      <c r="P45" s="261"/>
      <c r="Q45" s="363"/>
      <c r="R45" s="330"/>
      <c r="S45" s="48" t="s">
        <v>119</v>
      </c>
      <c r="T45" s="49" t="s">
        <v>4807</v>
      </c>
      <c r="U45" s="25">
        <v>7923</v>
      </c>
      <c r="V45" s="25"/>
      <c r="W45" s="25"/>
      <c r="X45" s="25">
        <v>7620</v>
      </c>
      <c r="Y45" s="25"/>
      <c r="Z45" s="25"/>
      <c r="AA45" s="25" t="s">
        <v>10</v>
      </c>
      <c r="AB45" s="25" t="s">
        <v>16</v>
      </c>
      <c r="AC45" s="25">
        <v>2</v>
      </c>
      <c r="AD45" s="51" t="s">
        <v>124</v>
      </c>
      <c r="AE45" s="52" t="s">
        <v>321</v>
      </c>
      <c r="AF45" s="52" t="s">
        <v>37</v>
      </c>
      <c r="AG45" s="745">
        <v>43973</v>
      </c>
      <c r="AH45" s="52"/>
      <c r="AI45" s="25"/>
      <c r="AJ45" s="653"/>
    </row>
    <row r="46" spans="1:36" ht="39" x14ac:dyDescent="0.25">
      <c r="A46" s="339"/>
      <c r="B46" s="116"/>
      <c r="C46" s="95"/>
      <c r="D46" s="567"/>
      <c r="E46" s="567"/>
      <c r="F46" s="108"/>
      <c r="G46" s="108"/>
      <c r="H46" s="95"/>
      <c r="I46" s="108"/>
      <c r="J46" s="122"/>
      <c r="K46" s="189">
        <v>13</v>
      </c>
      <c r="L46" s="355" t="s">
        <v>126</v>
      </c>
      <c r="M46" s="911">
        <v>1191945.3343220099</v>
      </c>
      <c r="N46" s="911">
        <v>5058104.4490392897</v>
      </c>
      <c r="O46" s="125" t="s">
        <v>138</v>
      </c>
      <c r="P46" s="125">
        <v>7</v>
      </c>
      <c r="Q46" s="253" t="s">
        <v>7924</v>
      </c>
      <c r="R46" s="134" t="s">
        <v>10</v>
      </c>
      <c r="S46" s="38" t="s">
        <v>47</v>
      </c>
      <c r="T46" s="39" t="s">
        <v>127</v>
      </c>
      <c r="U46" s="31">
        <v>175</v>
      </c>
      <c r="V46" s="31"/>
      <c r="W46" s="31"/>
      <c r="X46" s="31">
        <v>245</v>
      </c>
      <c r="Y46" s="31"/>
      <c r="Z46" s="31"/>
      <c r="AA46" s="31" t="s">
        <v>10</v>
      </c>
      <c r="AB46" s="31" t="s">
        <v>16</v>
      </c>
      <c r="AC46" s="31">
        <v>2</v>
      </c>
      <c r="AD46" s="30" t="s">
        <v>3553</v>
      </c>
      <c r="AE46" s="40" t="s">
        <v>136</v>
      </c>
      <c r="AF46" s="40" t="s">
        <v>37</v>
      </c>
      <c r="AG46" s="744">
        <v>43976</v>
      </c>
      <c r="AH46" s="40"/>
      <c r="AI46" s="31"/>
      <c r="AJ46" s="652"/>
    </row>
    <row r="47" spans="1:36" x14ac:dyDescent="0.25">
      <c r="A47" s="339"/>
      <c r="B47" s="116"/>
      <c r="C47" s="95"/>
      <c r="D47" s="567"/>
      <c r="E47" s="567"/>
      <c r="F47" s="108"/>
      <c r="G47" s="108"/>
      <c r="H47" s="95"/>
      <c r="I47" s="108"/>
      <c r="J47" s="122"/>
      <c r="K47" s="191"/>
      <c r="L47" s="359"/>
      <c r="M47" s="913"/>
      <c r="N47" s="913"/>
      <c r="O47" s="95"/>
      <c r="P47" s="95"/>
      <c r="Q47" s="359"/>
      <c r="R47" s="98"/>
      <c r="S47" s="42" t="s">
        <v>91</v>
      </c>
      <c r="T47" s="43" t="s">
        <v>128</v>
      </c>
      <c r="U47" s="24">
        <v>556</v>
      </c>
      <c r="V47" s="24"/>
      <c r="W47" s="24"/>
      <c r="X47" s="24">
        <v>616</v>
      </c>
      <c r="Y47" s="24"/>
      <c r="Z47" s="24"/>
      <c r="AA47" s="24" t="s">
        <v>10</v>
      </c>
      <c r="AB47" s="24" t="s">
        <v>16</v>
      </c>
      <c r="AC47" s="24">
        <v>2</v>
      </c>
      <c r="AD47" s="45" t="s">
        <v>134</v>
      </c>
      <c r="AE47" s="46" t="s">
        <v>136</v>
      </c>
      <c r="AF47" s="46" t="s">
        <v>37</v>
      </c>
      <c r="AG47" s="746">
        <v>43976</v>
      </c>
      <c r="AH47" s="46"/>
      <c r="AI47" s="24"/>
      <c r="AJ47" s="1107"/>
    </row>
    <row r="48" spans="1:36" x14ac:dyDescent="0.25">
      <c r="A48" s="339"/>
      <c r="B48" s="116"/>
      <c r="C48" s="95"/>
      <c r="D48" s="567"/>
      <c r="E48" s="567"/>
      <c r="F48" s="108"/>
      <c r="G48" s="108"/>
      <c r="H48" s="95"/>
      <c r="I48" s="108"/>
      <c r="J48" s="122"/>
      <c r="K48" s="191"/>
      <c r="L48" s="359"/>
      <c r="M48" s="913"/>
      <c r="N48" s="913"/>
      <c r="O48" s="95"/>
      <c r="P48" s="95"/>
      <c r="Q48" s="359"/>
      <c r="R48" s="98"/>
      <c r="S48" s="42" t="s">
        <v>92</v>
      </c>
      <c r="T48" s="43" t="s">
        <v>129</v>
      </c>
      <c r="U48" s="24">
        <v>745</v>
      </c>
      <c r="V48" s="24"/>
      <c r="W48" s="24"/>
      <c r="X48" s="24">
        <v>847</v>
      </c>
      <c r="Y48" s="24"/>
      <c r="Z48" s="24"/>
      <c r="AA48" s="24" t="s">
        <v>10</v>
      </c>
      <c r="AB48" s="24" t="s">
        <v>16</v>
      </c>
      <c r="AC48" s="24">
        <v>2</v>
      </c>
      <c r="AD48" s="45" t="s">
        <v>134</v>
      </c>
      <c r="AE48" s="46" t="s">
        <v>136</v>
      </c>
      <c r="AF48" s="46" t="s">
        <v>37</v>
      </c>
      <c r="AG48" s="746">
        <v>43976</v>
      </c>
      <c r="AH48" s="46"/>
      <c r="AI48" s="24"/>
      <c r="AJ48" s="1107"/>
    </row>
    <row r="49" spans="1:36" x14ac:dyDescent="0.25">
      <c r="A49" s="339"/>
      <c r="B49" s="116"/>
      <c r="C49" s="95"/>
      <c r="D49" s="567"/>
      <c r="E49" s="567"/>
      <c r="F49" s="108"/>
      <c r="G49" s="108"/>
      <c r="H49" s="95"/>
      <c r="I49" s="108"/>
      <c r="J49" s="122"/>
      <c r="K49" s="191"/>
      <c r="L49" s="359"/>
      <c r="M49" s="913"/>
      <c r="N49" s="913"/>
      <c r="O49" s="95"/>
      <c r="P49" s="95"/>
      <c r="Q49" s="359"/>
      <c r="R49" s="98"/>
      <c r="S49" s="42" t="s">
        <v>99</v>
      </c>
      <c r="T49" s="43" t="s">
        <v>130</v>
      </c>
      <c r="U49" s="24">
        <v>1013</v>
      </c>
      <c r="V49" s="24"/>
      <c r="W49" s="24"/>
      <c r="X49" s="24">
        <v>1159</v>
      </c>
      <c r="Y49" s="24"/>
      <c r="Z49" s="24"/>
      <c r="AA49" s="24" t="s">
        <v>10</v>
      </c>
      <c r="AB49" s="24" t="s">
        <v>16</v>
      </c>
      <c r="AC49" s="24">
        <v>2</v>
      </c>
      <c r="AD49" s="45" t="s">
        <v>134</v>
      </c>
      <c r="AE49" s="46" t="s">
        <v>136</v>
      </c>
      <c r="AF49" s="46" t="s">
        <v>37</v>
      </c>
      <c r="AG49" s="746">
        <v>43976</v>
      </c>
      <c r="AH49" s="46"/>
      <c r="AI49" s="24"/>
      <c r="AJ49" s="1107"/>
    </row>
    <row r="50" spans="1:36" x14ac:dyDescent="0.25">
      <c r="A50" s="339"/>
      <c r="B50" s="116"/>
      <c r="C50" s="95"/>
      <c r="D50" s="567"/>
      <c r="E50" s="567"/>
      <c r="F50" s="108"/>
      <c r="G50" s="108"/>
      <c r="H50" s="95"/>
      <c r="I50" s="108"/>
      <c r="J50" s="122"/>
      <c r="K50" s="191"/>
      <c r="L50" s="359"/>
      <c r="M50" s="913"/>
      <c r="N50" s="913"/>
      <c r="O50" s="95"/>
      <c r="P50" s="95"/>
      <c r="Q50" s="359"/>
      <c r="R50" s="98"/>
      <c r="S50" s="42" t="s">
        <v>100</v>
      </c>
      <c r="T50" s="43" t="s">
        <v>131</v>
      </c>
      <c r="U50" s="24">
        <v>1195</v>
      </c>
      <c r="V50" s="24"/>
      <c r="W50" s="24"/>
      <c r="X50" s="24">
        <v>1295</v>
      </c>
      <c r="Y50" s="24"/>
      <c r="Z50" s="24"/>
      <c r="AA50" s="24" t="s">
        <v>10</v>
      </c>
      <c r="AB50" s="24" t="s">
        <v>16</v>
      </c>
      <c r="AC50" s="24">
        <v>2</v>
      </c>
      <c r="AD50" s="45" t="s">
        <v>134</v>
      </c>
      <c r="AE50" s="46" t="s">
        <v>136</v>
      </c>
      <c r="AF50" s="46" t="s">
        <v>37</v>
      </c>
      <c r="AG50" s="746">
        <v>43976</v>
      </c>
      <c r="AH50" s="46"/>
      <c r="AI50" s="24"/>
      <c r="AJ50" s="1107"/>
    </row>
    <row r="51" spans="1:36" ht="51.75" x14ac:dyDescent="0.25">
      <c r="A51" s="339"/>
      <c r="B51" s="116"/>
      <c r="C51" s="95"/>
      <c r="D51" s="567"/>
      <c r="E51" s="567"/>
      <c r="F51" s="108"/>
      <c r="G51" s="108"/>
      <c r="H51" s="95"/>
      <c r="I51" s="108"/>
      <c r="J51" s="122"/>
      <c r="K51" s="191"/>
      <c r="L51" s="359"/>
      <c r="M51" s="913"/>
      <c r="N51" s="913"/>
      <c r="O51" s="95"/>
      <c r="P51" s="95"/>
      <c r="Q51" s="359"/>
      <c r="R51" s="98"/>
      <c r="S51" s="42" t="s">
        <v>101</v>
      </c>
      <c r="T51" s="43" t="s">
        <v>132</v>
      </c>
      <c r="U51" s="24">
        <v>1324</v>
      </c>
      <c r="V51" s="24"/>
      <c r="W51" s="24"/>
      <c r="X51" s="24">
        <v>1554</v>
      </c>
      <c r="Y51" s="24"/>
      <c r="Z51" s="24"/>
      <c r="AA51" s="24" t="s">
        <v>10</v>
      </c>
      <c r="AB51" s="24" t="s">
        <v>85</v>
      </c>
      <c r="AC51" s="24">
        <v>3</v>
      </c>
      <c r="AD51" s="45" t="s">
        <v>135</v>
      </c>
      <c r="AE51" s="46" t="s">
        <v>136</v>
      </c>
      <c r="AF51" s="46" t="s">
        <v>37</v>
      </c>
      <c r="AG51" s="746">
        <v>43976</v>
      </c>
      <c r="AH51" s="46"/>
      <c r="AI51" s="24"/>
      <c r="AJ51" s="1107"/>
    </row>
    <row r="52" spans="1:36" ht="15.75" thickBot="1" x14ac:dyDescent="0.3">
      <c r="A52" s="339"/>
      <c r="B52" s="116"/>
      <c r="C52" s="95"/>
      <c r="D52" s="567"/>
      <c r="E52" s="567"/>
      <c r="F52" s="108"/>
      <c r="G52" s="108"/>
      <c r="H52" s="95"/>
      <c r="I52" s="108"/>
      <c r="J52" s="122"/>
      <c r="K52" s="190"/>
      <c r="L52" s="357"/>
      <c r="M52" s="912"/>
      <c r="N52" s="912"/>
      <c r="O52" s="96"/>
      <c r="P52" s="96"/>
      <c r="Q52" s="357"/>
      <c r="R52" s="100"/>
      <c r="S52" s="48" t="s">
        <v>102</v>
      </c>
      <c r="T52" s="49" t="s">
        <v>133</v>
      </c>
      <c r="U52" s="25">
        <v>1631</v>
      </c>
      <c r="V52" s="25"/>
      <c r="W52" s="25"/>
      <c r="X52" s="25">
        <v>1727</v>
      </c>
      <c r="Y52" s="25"/>
      <c r="Z52" s="25"/>
      <c r="AA52" s="25" t="s">
        <v>10</v>
      </c>
      <c r="AB52" s="25" t="s">
        <v>16</v>
      </c>
      <c r="AC52" s="25">
        <v>2</v>
      </c>
      <c r="AD52" s="51" t="s">
        <v>134</v>
      </c>
      <c r="AE52" s="52" t="s">
        <v>136</v>
      </c>
      <c r="AF52" s="52" t="s">
        <v>37</v>
      </c>
      <c r="AG52" s="745">
        <v>43976</v>
      </c>
      <c r="AH52" s="52"/>
      <c r="AI52" s="25"/>
      <c r="AJ52" s="653"/>
    </row>
    <row r="53" spans="1:36" ht="64.5" x14ac:dyDescent="0.25">
      <c r="A53" s="339"/>
      <c r="B53" s="116"/>
      <c r="C53" s="95"/>
      <c r="D53" s="567"/>
      <c r="E53" s="567"/>
      <c r="F53" s="108"/>
      <c r="G53" s="108"/>
      <c r="H53" s="95"/>
      <c r="I53" s="108"/>
      <c r="J53" s="122"/>
      <c r="K53" s="189">
        <v>457</v>
      </c>
      <c r="L53" s="355" t="s">
        <v>3141</v>
      </c>
      <c r="M53" s="911">
        <v>1252049.1325000001</v>
      </c>
      <c r="N53" s="911">
        <v>5113123.2434</v>
      </c>
      <c r="O53" s="125" t="s">
        <v>41</v>
      </c>
      <c r="P53" s="125">
        <v>9</v>
      </c>
      <c r="Q53" s="355" t="s">
        <v>2156</v>
      </c>
      <c r="R53" s="134" t="s">
        <v>2156</v>
      </c>
      <c r="S53" s="38" t="s">
        <v>47</v>
      </c>
      <c r="T53" s="39" t="s">
        <v>7777</v>
      </c>
      <c r="U53" s="31">
        <f>1950-1681</f>
        <v>269</v>
      </c>
      <c r="V53" s="31"/>
      <c r="W53" s="31"/>
      <c r="X53" s="31">
        <f>1950-1769</f>
        <v>181</v>
      </c>
      <c r="Y53" s="31"/>
      <c r="Z53" s="31"/>
      <c r="AA53" s="31" t="s">
        <v>10</v>
      </c>
      <c r="AB53" s="31" t="s">
        <v>16</v>
      </c>
      <c r="AC53" s="31">
        <v>2</v>
      </c>
      <c r="AD53" s="30" t="s">
        <v>7786</v>
      </c>
      <c r="AE53" s="40" t="s">
        <v>7810</v>
      </c>
      <c r="AF53" s="40" t="s">
        <v>37</v>
      </c>
      <c r="AG53" s="744">
        <v>44358</v>
      </c>
      <c r="AH53" s="40"/>
      <c r="AI53" s="31"/>
      <c r="AJ53" s="652"/>
    </row>
    <row r="54" spans="1:36" ht="51.75" x14ac:dyDescent="0.25">
      <c r="A54" s="339"/>
      <c r="B54" s="116"/>
      <c r="C54" s="95"/>
      <c r="D54" s="567"/>
      <c r="E54" s="567"/>
      <c r="F54" s="108"/>
      <c r="G54" s="108"/>
      <c r="H54" s="95"/>
      <c r="I54" s="108"/>
      <c r="J54" s="122"/>
      <c r="K54" s="191"/>
      <c r="L54" s="359"/>
      <c r="M54" s="913"/>
      <c r="N54" s="913"/>
      <c r="O54" s="95"/>
      <c r="P54" s="95"/>
      <c r="Q54" s="359"/>
      <c r="R54" s="98"/>
      <c r="S54" s="42" t="s">
        <v>91</v>
      </c>
      <c r="T54" s="43" t="s">
        <v>7778</v>
      </c>
      <c r="U54" s="24">
        <f>1950-1365</f>
        <v>585</v>
      </c>
      <c r="V54" s="24"/>
      <c r="W54" s="24"/>
      <c r="X54" s="24">
        <f>1950-1426</f>
        <v>524</v>
      </c>
      <c r="Y54" s="24"/>
      <c r="Z54" s="24"/>
      <c r="AA54" s="24" t="s">
        <v>10</v>
      </c>
      <c r="AB54" s="24" t="s">
        <v>16</v>
      </c>
      <c r="AC54" s="24">
        <v>2</v>
      </c>
      <c r="AD54" s="46" t="s">
        <v>7809</v>
      </c>
      <c r="AE54" s="46" t="s">
        <v>7810</v>
      </c>
      <c r="AF54" s="46" t="s">
        <v>37</v>
      </c>
      <c r="AG54" s="746">
        <v>44358</v>
      </c>
      <c r="AH54" s="46"/>
      <c r="AI54" s="24"/>
      <c r="AJ54" s="1107"/>
    </row>
    <row r="55" spans="1:36" ht="51.75" x14ac:dyDescent="0.25">
      <c r="A55" s="339"/>
      <c r="B55" s="116"/>
      <c r="C55" s="95"/>
      <c r="D55" s="567"/>
      <c r="E55" s="567"/>
      <c r="F55" s="108"/>
      <c r="G55" s="108"/>
      <c r="H55" s="95"/>
      <c r="I55" s="108"/>
      <c r="J55" s="122"/>
      <c r="K55" s="191"/>
      <c r="L55" s="359"/>
      <c r="M55" s="913"/>
      <c r="N55" s="913"/>
      <c r="O55" s="95"/>
      <c r="P55" s="95"/>
      <c r="Q55" s="359"/>
      <c r="R55" s="98"/>
      <c r="S55" s="42" t="s">
        <v>92</v>
      </c>
      <c r="T55" s="43" t="s">
        <v>7779</v>
      </c>
      <c r="U55" s="24">
        <f>1950-1166</f>
        <v>784</v>
      </c>
      <c r="V55" s="24"/>
      <c r="W55" s="24"/>
      <c r="X55" s="24">
        <f>1950-1213</f>
        <v>737</v>
      </c>
      <c r="Y55" s="24"/>
      <c r="Z55" s="24"/>
      <c r="AA55" s="24" t="s">
        <v>10</v>
      </c>
      <c r="AB55" s="24" t="s">
        <v>16</v>
      </c>
      <c r="AC55" s="24">
        <v>2</v>
      </c>
      <c r="AD55" s="46" t="s">
        <v>7809</v>
      </c>
      <c r="AE55" s="46" t="s">
        <v>7810</v>
      </c>
      <c r="AF55" s="46" t="s">
        <v>37</v>
      </c>
      <c r="AG55" s="746">
        <v>44358</v>
      </c>
      <c r="AH55" s="46"/>
      <c r="AI55" s="24"/>
      <c r="AJ55" s="1107"/>
    </row>
    <row r="56" spans="1:36" ht="51.75" x14ac:dyDescent="0.25">
      <c r="A56" s="339"/>
      <c r="B56" s="116"/>
      <c r="C56" s="95"/>
      <c r="D56" s="567"/>
      <c r="E56" s="567"/>
      <c r="F56" s="108"/>
      <c r="G56" s="108"/>
      <c r="H56" s="95"/>
      <c r="I56" s="108"/>
      <c r="J56" s="122"/>
      <c r="K56" s="191"/>
      <c r="L56" s="359"/>
      <c r="M56" s="913"/>
      <c r="N56" s="913"/>
      <c r="O56" s="95"/>
      <c r="P56" s="95"/>
      <c r="Q56" s="359"/>
      <c r="R56" s="98"/>
      <c r="S56" s="42" t="s">
        <v>99</v>
      </c>
      <c r="T56" s="43" t="s">
        <v>7780</v>
      </c>
      <c r="U56" s="24">
        <f>1950-969</f>
        <v>981</v>
      </c>
      <c r="V56" s="24"/>
      <c r="W56" s="24"/>
      <c r="X56" s="24">
        <f>1950-1022</f>
        <v>928</v>
      </c>
      <c r="Y56" s="24"/>
      <c r="Z56" s="24"/>
      <c r="AA56" s="24" t="s">
        <v>10</v>
      </c>
      <c r="AB56" s="24" t="s">
        <v>16</v>
      </c>
      <c r="AC56" s="24">
        <v>2</v>
      </c>
      <c r="AD56" s="46" t="s">
        <v>7809</v>
      </c>
      <c r="AE56" s="46" t="s">
        <v>7810</v>
      </c>
      <c r="AF56" s="46" t="s">
        <v>37</v>
      </c>
      <c r="AG56" s="746">
        <v>44358</v>
      </c>
      <c r="AH56" s="46"/>
      <c r="AI56" s="24"/>
      <c r="AJ56" s="1107"/>
    </row>
    <row r="57" spans="1:36" ht="51.75" x14ac:dyDescent="0.25">
      <c r="A57" s="339"/>
      <c r="B57" s="116"/>
      <c r="C57" s="95"/>
      <c r="D57" s="567"/>
      <c r="E57" s="567"/>
      <c r="F57" s="108"/>
      <c r="G57" s="108"/>
      <c r="H57" s="95"/>
      <c r="I57" s="108"/>
      <c r="J57" s="122"/>
      <c r="K57" s="191"/>
      <c r="L57" s="359"/>
      <c r="M57" s="913"/>
      <c r="N57" s="913"/>
      <c r="O57" s="95"/>
      <c r="P57" s="95"/>
      <c r="Q57" s="359"/>
      <c r="R57" s="98"/>
      <c r="S57" s="42" t="s">
        <v>100</v>
      </c>
      <c r="T57" s="43" t="s">
        <v>7781</v>
      </c>
      <c r="U57" s="24">
        <f>1950-916</f>
        <v>1034</v>
      </c>
      <c r="V57" s="24"/>
      <c r="W57" s="24"/>
      <c r="X57" s="24">
        <f>1950-991</f>
        <v>959</v>
      </c>
      <c r="Y57" s="24"/>
      <c r="Z57" s="24"/>
      <c r="AA57" s="24" t="s">
        <v>10</v>
      </c>
      <c r="AB57" s="24" t="s">
        <v>16</v>
      </c>
      <c r="AC57" s="24">
        <v>2</v>
      </c>
      <c r="AD57" s="46" t="s">
        <v>7809</v>
      </c>
      <c r="AE57" s="46" t="s">
        <v>7810</v>
      </c>
      <c r="AF57" s="46" t="s">
        <v>37</v>
      </c>
      <c r="AG57" s="746">
        <v>44358</v>
      </c>
      <c r="AH57" s="46"/>
      <c r="AI57" s="24"/>
      <c r="AJ57" s="1107"/>
    </row>
    <row r="58" spans="1:36" ht="51.75" x14ac:dyDescent="0.25">
      <c r="A58" s="339"/>
      <c r="B58" s="116"/>
      <c r="C58" s="95"/>
      <c r="D58" s="567"/>
      <c r="E58" s="567"/>
      <c r="F58" s="108"/>
      <c r="G58" s="108"/>
      <c r="H58" s="95"/>
      <c r="I58" s="108"/>
      <c r="J58" s="122"/>
      <c r="K58" s="191"/>
      <c r="L58" s="359"/>
      <c r="M58" s="913"/>
      <c r="N58" s="913"/>
      <c r="O58" s="95"/>
      <c r="P58" s="95"/>
      <c r="Q58" s="359"/>
      <c r="R58" s="98"/>
      <c r="S58" s="42" t="s">
        <v>101</v>
      </c>
      <c r="T58" s="43" t="s">
        <v>7782</v>
      </c>
      <c r="U58" s="24">
        <f>1950-585</f>
        <v>1365</v>
      </c>
      <c r="V58" s="24"/>
      <c r="W58" s="24"/>
      <c r="X58" s="24">
        <f>1950-645</f>
        <v>1305</v>
      </c>
      <c r="Y58" s="24"/>
      <c r="Z58" s="24"/>
      <c r="AA58" s="24" t="s">
        <v>10</v>
      </c>
      <c r="AB58" s="24" t="s">
        <v>16</v>
      </c>
      <c r="AC58" s="24">
        <v>2</v>
      </c>
      <c r="AD58" s="46" t="s">
        <v>7809</v>
      </c>
      <c r="AE58" s="46" t="s">
        <v>7810</v>
      </c>
      <c r="AF58" s="46" t="s">
        <v>37</v>
      </c>
      <c r="AG58" s="746">
        <v>44358</v>
      </c>
      <c r="AH58" s="46"/>
      <c r="AI58" s="24"/>
      <c r="AJ58" s="1107"/>
    </row>
    <row r="59" spans="1:36" ht="51.75" x14ac:dyDescent="0.25">
      <c r="A59" s="339"/>
      <c r="B59" s="116"/>
      <c r="C59" s="95"/>
      <c r="D59" s="567"/>
      <c r="E59" s="567"/>
      <c r="F59" s="108"/>
      <c r="G59" s="108"/>
      <c r="H59" s="95"/>
      <c r="I59" s="108"/>
      <c r="J59" s="122"/>
      <c r="K59" s="191"/>
      <c r="L59" s="359"/>
      <c r="M59" s="913"/>
      <c r="N59" s="913"/>
      <c r="O59" s="95"/>
      <c r="P59" s="95"/>
      <c r="Q59" s="359"/>
      <c r="R59" s="98"/>
      <c r="S59" s="42" t="s">
        <v>102</v>
      </c>
      <c r="T59" s="43" t="s">
        <v>7783</v>
      </c>
      <c r="U59" s="24">
        <f>1950-329</f>
        <v>1621</v>
      </c>
      <c r="V59" s="24"/>
      <c r="W59" s="24"/>
      <c r="X59" s="24">
        <f>1950-430</f>
        <v>1520</v>
      </c>
      <c r="Y59" s="24"/>
      <c r="Z59" s="24"/>
      <c r="AA59" s="24" t="s">
        <v>10</v>
      </c>
      <c r="AB59" s="24" t="s">
        <v>16</v>
      </c>
      <c r="AC59" s="24">
        <v>2</v>
      </c>
      <c r="AD59" s="46" t="s">
        <v>7809</v>
      </c>
      <c r="AE59" s="46" t="s">
        <v>7810</v>
      </c>
      <c r="AF59" s="46" t="s">
        <v>37</v>
      </c>
      <c r="AG59" s="746">
        <v>44358</v>
      </c>
      <c r="AH59" s="46"/>
      <c r="AI59" s="24"/>
      <c r="AJ59" s="1107"/>
    </row>
    <row r="60" spans="1:36" ht="51.75" x14ac:dyDescent="0.25">
      <c r="A60" s="339"/>
      <c r="B60" s="116"/>
      <c r="C60" s="95"/>
      <c r="D60" s="567"/>
      <c r="E60" s="567"/>
      <c r="F60" s="108"/>
      <c r="G60" s="108"/>
      <c r="H60" s="95"/>
      <c r="I60" s="108"/>
      <c r="J60" s="122"/>
      <c r="K60" s="191"/>
      <c r="L60" s="359"/>
      <c r="M60" s="913"/>
      <c r="N60" s="913"/>
      <c r="O60" s="95"/>
      <c r="P60" s="95"/>
      <c r="Q60" s="359"/>
      <c r="R60" s="98"/>
      <c r="S60" s="42" t="s">
        <v>103</v>
      </c>
      <c r="T60" s="43" t="s">
        <v>7784</v>
      </c>
      <c r="U60" s="24">
        <f>1950-94</f>
        <v>1856</v>
      </c>
      <c r="V60" s="24"/>
      <c r="W60" s="24"/>
      <c r="X60" s="24">
        <f>1950-206</f>
        <v>1744</v>
      </c>
      <c r="Y60" s="24"/>
      <c r="Z60" s="24"/>
      <c r="AA60" s="24" t="s">
        <v>10</v>
      </c>
      <c r="AB60" s="24" t="s">
        <v>16</v>
      </c>
      <c r="AC60" s="24">
        <v>2</v>
      </c>
      <c r="AD60" s="46" t="s">
        <v>7809</v>
      </c>
      <c r="AE60" s="46" t="s">
        <v>7810</v>
      </c>
      <c r="AF60" s="46" t="s">
        <v>37</v>
      </c>
      <c r="AG60" s="746">
        <v>44358</v>
      </c>
      <c r="AH60" s="46"/>
      <c r="AI60" s="24"/>
      <c r="AJ60" s="1107"/>
    </row>
    <row r="61" spans="1:36" ht="52.5" thickBot="1" x14ac:dyDescent="0.3">
      <c r="A61" s="339"/>
      <c r="B61" s="116"/>
      <c r="C61" s="95"/>
      <c r="D61" s="567"/>
      <c r="E61" s="567"/>
      <c r="F61" s="108"/>
      <c r="G61" s="108"/>
      <c r="H61" s="95"/>
      <c r="I61" s="108"/>
      <c r="J61" s="122"/>
      <c r="K61" s="190"/>
      <c r="L61" s="357"/>
      <c r="M61" s="912"/>
      <c r="N61" s="912"/>
      <c r="O61" s="96"/>
      <c r="P61" s="96"/>
      <c r="Q61" s="357"/>
      <c r="R61" s="100"/>
      <c r="S61" s="48" t="s">
        <v>104</v>
      </c>
      <c r="T61" s="49" t="s">
        <v>7785</v>
      </c>
      <c r="U61" s="25">
        <f>1950+148</f>
        <v>2098</v>
      </c>
      <c r="V61" s="25"/>
      <c r="W61" s="25"/>
      <c r="X61" s="25">
        <f>1950+18</f>
        <v>1968</v>
      </c>
      <c r="Y61" s="25"/>
      <c r="Z61" s="25"/>
      <c r="AA61" s="25" t="s">
        <v>10</v>
      </c>
      <c r="AB61" s="25" t="s">
        <v>16</v>
      </c>
      <c r="AC61" s="25">
        <v>2</v>
      </c>
      <c r="AD61" s="52" t="s">
        <v>7809</v>
      </c>
      <c r="AE61" s="52" t="s">
        <v>7810</v>
      </c>
      <c r="AF61" s="52" t="s">
        <v>37</v>
      </c>
      <c r="AG61" s="745">
        <v>44358</v>
      </c>
      <c r="AH61" s="52"/>
      <c r="AI61" s="25"/>
      <c r="AJ61" s="653"/>
    </row>
    <row r="62" spans="1:36" ht="52.5" thickBot="1" x14ac:dyDescent="0.3">
      <c r="A62" s="487" t="s">
        <v>86</v>
      </c>
      <c r="B62" s="128" t="s">
        <v>6797</v>
      </c>
      <c r="C62" s="72">
        <v>598</v>
      </c>
      <c r="D62" s="586" t="s">
        <v>53</v>
      </c>
      <c r="E62" s="586" t="s">
        <v>52</v>
      </c>
      <c r="F62" s="129"/>
      <c r="G62" s="129"/>
      <c r="H62" s="72"/>
      <c r="I62" s="73"/>
      <c r="J62" s="381"/>
      <c r="K62" s="192">
        <v>292</v>
      </c>
      <c r="L62" s="79" t="s">
        <v>2143</v>
      </c>
      <c r="M62" s="916">
        <v>1388783.3477</v>
      </c>
      <c r="N62" s="916">
        <v>5204642.3081999999</v>
      </c>
      <c r="O62" s="78" t="s">
        <v>41</v>
      </c>
      <c r="P62" s="78">
        <v>1</v>
      </c>
      <c r="Q62" s="79" t="s">
        <v>2156</v>
      </c>
      <c r="R62" s="80" t="s">
        <v>2156</v>
      </c>
      <c r="S62" s="393" t="s">
        <v>47</v>
      </c>
      <c r="T62" s="49" t="s">
        <v>2148</v>
      </c>
      <c r="U62" s="25">
        <f>1950-1706</f>
        <v>244</v>
      </c>
      <c r="V62" s="25"/>
      <c r="W62" s="25"/>
      <c r="X62" s="25">
        <f>1950-1823</f>
        <v>127</v>
      </c>
      <c r="Y62" s="25"/>
      <c r="Z62" s="25"/>
      <c r="AA62" s="25" t="s">
        <v>10</v>
      </c>
      <c r="AB62" s="25" t="s">
        <v>10</v>
      </c>
      <c r="AC62" s="25">
        <v>1</v>
      </c>
      <c r="AD62" s="52" t="s">
        <v>3557</v>
      </c>
      <c r="AE62" s="52" t="s">
        <v>7885</v>
      </c>
      <c r="AF62" s="52" t="s">
        <v>37</v>
      </c>
      <c r="AG62" s="745">
        <v>44116</v>
      </c>
      <c r="AH62" s="52"/>
      <c r="AI62" s="25"/>
      <c r="AJ62" s="653"/>
    </row>
    <row r="63" spans="1:36" ht="103.5" thickBot="1" x14ac:dyDescent="0.3">
      <c r="A63" s="488"/>
      <c r="B63" s="131"/>
      <c r="C63" s="75"/>
      <c r="D63" s="568"/>
      <c r="E63" s="568"/>
      <c r="F63" s="118"/>
      <c r="G63" s="118"/>
      <c r="H63" s="75"/>
      <c r="I63" s="118"/>
      <c r="J63" s="121"/>
      <c r="K63" s="187">
        <v>449</v>
      </c>
      <c r="L63" s="73" t="s">
        <v>3120</v>
      </c>
      <c r="M63" s="914">
        <v>1383136.1302</v>
      </c>
      <c r="N63" s="914">
        <v>5200836.6922000004</v>
      </c>
      <c r="O63" s="72" t="s">
        <v>41</v>
      </c>
      <c r="P63" s="72" t="s">
        <v>1454</v>
      </c>
      <c r="Q63" s="73" t="s">
        <v>2156</v>
      </c>
      <c r="R63" s="74" t="s">
        <v>2156</v>
      </c>
      <c r="S63" s="38" t="s">
        <v>47</v>
      </c>
      <c r="T63" s="39" t="s">
        <v>3121</v>
      </c>
      <c r="U63" s="31"/>
      <c r="V63" s="31"/>
      <c r="W63" s="31"/>
      <c r="X63" s="31"/>
      <c r="Y63" s="31">
        <v>20</v>
      </c>
      <c r="Z63" s="31">
        <v>240</v>
      </c>
      <c r="AA63" s="31" t="s">
        <v>85</v>
      </c>
      <c r="AB63" s="31" t="s">
        <v>16</v>
      </c>
      <c r="AC63" s="31">
        <v>3</v>
      </c>
      <c r="AD63" s="40" t="s">
        <v>3556</v>
      </c>
      <c r="AE63" s="40" t="s">
        <v>3122</v>
      </c>
      <c r="AF63" s="40" t="s">
        <v>37</v>
      </c>
      <c r="AG63" s="744">
        <v>44132</v>
      </c>
      <c r="AH63" s="40"/>
      <c r="AI63" s="31"/>
      <c r="AJ63" s="652"/>
    </row>
    <row r="64" spans="1:36" ht="51.75" x14ac:dyDescent="0.25">
      <c r="A64" s="488"/>
      <c r="B64" s="131"/>
      <c r="C64" s="75"/>
      <c r="D64" s="568"/>
      <c r="E64" s="568"/>
      <c r="F64" s="118"/>
      <c r="G64" s="118"/>
      <c r="H64" s="75"/>
      <c r="I64" s="118"/>
      <c r="J64" s="121"/>
      <c r="K64" s="187">
        <v>455</v>
      </c>
      <c r="L64" s="73" t="s">
        <v>3139</v>
      </c>
      <c r="M64" s="914">
        <v>1308749.0963999999</v>
      </c>
      <c r="N64" s="914">
        <v>5153149.6524</v>
      </c>
      <c r="O64" s="72" t="s">
        <v>7881</v>
      </c>
      <c r="P64" s="72">
        <v>15</v>
      </c>
      <c r="Q64" s="73" t="s">
        <v>7882</v>
      </c>
      <c r="R64" s="72" t="s">
        <v>16</v>
      </c>
      <c r="S64" s="38" t="s">
        <v>47</v>
      </c>
      <c r="T64" s="39" t="s">
        <v>7751</v>
      </c>
      <c r="U64" s="31">
        <f>1950-1693</f>
        <v>257</v>
      </c>
      <c r="V64" s="31"/>
      <c r="W64" s="31"/>
      <c r="X64" s="31">
        <f>1950-1740</f>
        <v>210</v>
      </c>
      <c r="Y64" s="31"/>
      <c r="Z64" s="31"/>
      <c r="AA64" s="31" t="s">
        <v>10</v>
      </c>
      <c r="AB64" s="31" t="s">
        <v>16</v>
      </c>
      <c r="AC64" s="31">
        <v>2</v>
      </c>
      <c r="AD64" s="152" t="s">
        <v>7767</v>
      </c>
      <c r="AE64" s="152" t="s">
        <v>7766</v>
      </c>
      <c r="AF64" s="152" t="s">
        <v>37</v>
      </c>
      <c r="AG64" s="749">
        <v>44358</v>
      </c>
      <c r="AH64" s="152"/>
      <c r="AI64" s="31"/>
      <c r="AJ64" s="652"/>
    </row>
    <row r="65" spans="1:36" ht="51.75" x14ac:dyDescent="0.25">
      <c r="A65" s="488"/>
      <c r="B65" s="131"/>
      <c r="C65" s="75"/>
      <c r="D65" s="568"/>
      <c r="E65" s="568"/>
      <c r="F65" s="118"/>
      <c r="G65" s="118"/>
      <c r="H65" s="75"/>
      <c r="I65" s="118"/>
      <c r="J65" s="121"/>
      <c r="K65" s="188"/>
      <c r="L65" s="76"/>
      <c r="M65" s="915"/>
      <c r="N65" s="915"/>
      <c r="O65" s="75"/>
      <c r="P65" s="75"/>
      <c r="Q65" s="76"/>
      <c r="R65" s="75"/>
      <c r="S65" s="42" t="s">
        <v>91</v>
      </c>
      <c r="T65" s="43" t="s">
        <v>7752</v>
      </c>
      <c r="U65" s="24">
        <f>1950-1370</f>
        <v>580</v>
      </c>
      <c r="V65" s="24"/>
      <c r="W65" s="24"/>
      <c r="X65" s="24">
        <f>1950-1410</f>
        <v>540</v>
      </c>
      <c r="Y65" s="24"/>
      <c r="Z65" s="24"/>
      <c r="AA65" s="24" t="s">
        <v>10</v>
      </c>
      <c r="AB65" s="24" t="s">
        <v>16</v>
      </c>
      <c r="AC65" s="24">
        <v>2</v>
      </c>
      <c r="AD65" s="46" t="s">
        <v>7767</v>
      </c>
      <c r="AE65" s="46" t="s">
        <v>7766</v>
      </c>
      <c r="AF65" s="46" t="s">
        <v>37</v>
      </c>
      <c r="AG65" s="746">
        <v>44358</v>
      </c>
      <c r="AH65" s="46"/>
      <c r="AI65" s="24"/>
      <c r="AJ65" s="1107"/>
    </row>
    <row r="66" spans="1:36" ht="51.75" x14ac:dyDescent="0.25">
      <c r="A66" s="488"/>
      <c r="B66" s="131"/>
      <c r="C66" s="75"/>
      <c r="D66" s="568"/>
      <c r="E66" s="568"/>
      <c r="F66" s="118"/>
      <c r="G66" s="118"/>
      <c r="H66" s="75"/>
      <c r="I66" s="118"/>
      <c r="J66" s="121"/>
      <c r="K66" s="188"/>
      <c r="L66" s="76"/>
      <c r="M66" s="915"/>
      <c r="N66" s="915"/>
      <c r="O66" s="75"/>
      <c r="P66" s="75"/>
      <c r="Q66" s="76"/>
      <c r="R66" s="75"/>
      <c r="S66" s="42" t="s">
        <v>92</v>
      </c>
      <c r="T66" s="43" t="s">
        <v>7753</v>
      </c>
      <c r="U66" s="24">
        <f>1950-1100</f>
        <v>850</v>
      </c>
      <c r="V66" s="24"/>
      <c r="W66" s="24"/>
      <c r="X66" s="24">
        <f>1950-1180</f>
        <v>770</v>
      </c>
      <c r="Y66" s="24"/>
      <c r="Z66" s="24"/>
      <c r="AA66" s="24" t="s">
        <v>10</v>
      </c>
      <c r="AB66" s="24" t="s">
        <v>16</v>
      </c>
      <c r="AC66" s="24">
        <v>2</v>
      </c>
      <c r="AD66" s="46" t="s">
        <v>7767</v>
      </c>
      <c r="AE66" s="46" t="s">
        <v>7766</v>
      </c>
      <c r="AF66" s="46" t="s">
        <v>37</v>
      </c>
      <c r="AG66" s="746">
        <v>44358</v>
      </c>
      <c r="AH66" s="46"/>
      <c r="AI66" s="24"/>
      <c r="AJ66" s="1107"/>
    </row>
    <row r="67" spans="1:36" ht="51.75" x14ac:dyDescent="0.25">
      <c r="A67" s="488"/>
      <c r="B67" s="131"/>
      <c r="C67" s="75"/>
      <c r="D67" s="568"/>
      <c r="E67" s="568"/>
      <c r="F67" s="118"/>
      <c r="G67" s="118"/>
      <c r="H67" s="75"/>
      <c r="I67" s="118"/>
      <c r="J67" s="121"/>
      <c r="K67" s="188"/>
      <c r="L67" s="76"/>
      <c r="M67" s="915"/>
      <c r="N67" s="915"/>
      <c r="O67" s="75"/>
      <c r="P67" s="75"/>
      <c r="Q67" s="76"/>
      <c r="R67" s="75"/>
      <c r="S67" s="42" t="s">
        <v>99</v>
      </c>
      <c r="T67" s="43" t="s">
        <v>7754</v>
      </c>
      <c r="U67" s="24">
        <f>1950-915</f>
        <v>1035</v>
      </c>
      <c r="V67" s="24"/>
      <c r="W67" s="24"/>
      <c r="X67" s="24">
        <f>1950-981</f>
        <v>969</v>
      </c>
      <c r="Y67" s="24"/>
      <c r="Z67" s="24"/>
      <c r="AA67" s="24" t="s">
        <v>10</v>
      </c>
      <c r="AB67" s="24" t="s">
        <v>16</v>
      </c>
      <c r="AC67" s="24">
        <v>2</v>
      </c>
      <c r="AD67" s="46" t="s">
        <v>7767</v>
      </c>
      <c r="AE67" s="46" t="s">
        <v>7766</v>
      </c>
      <c r="AF67" s="46" t="s">
        <v>37</v>
      </c>
      <c r="AG67" s="746">
        <v>44358</v>
      </c>
      <c r="AH67" s="46"/>
      <c r="AI67" s="24"/>
      <c r="AJ67" s="1107"/>
    </row>
    <row r="68" spans="1:36" ht="51.75" x14ac:dyDescent="0.25">
      <c r="A68" s="488"/>
      <c r="B68" s="131"/>
      <c r="C68" s="75"/>
      <c r="D68" s="568"/>
      <c r="E68" s="568"/>
      <c r="F68" s="118"/>
      <c r="G68" s="118"/>
      <c r="H68" s="75"/>
      <c r="I68" s="118"/>
      <c r="J68" s="121"/>
      <c r="K68" s="188"/>
      <c r="L68" s="76"/>
      <c r="M68" s="915"/>
      <c r="N68" s="915"/>
      <c r="O68" s="75"/>
      <c r="P68" s="75"/>
      <c r="Q68" s="76"/>
      <c r="R68" s="75"/>
      <c r="S68" s="42" t="s">
        <v>100</v>
      </c>
      <c r="T68" s="43" t="s">
        <v>7755</v>
      </c>
      <c r="U68" s="24">
        <f>1950-584</f>
        <v>1366</v>
      </c>
      <c r="V68" s="24"/>
      <c r="W68" s="24"/>
      <c r="X68" s="24">
        <f>1950-662</f>
        <v>1288</v>
      </c>
      <c r="Y68" s="24"/>
      <c r="Z68" s="24"/>
      <c r="AA68" s="24" t="s">
        <v>10</v>
      </c>
      <c r="AB68" s="24" t="s">
        <v>16</v>
      </c>
      <c r="AC68" s="24">
        <v>2</v>
      </c>
      <c r="AD68" s="46" t="s">
        <v>7767</v>
      </c>
      <c r="AE68" s="46" t="s">
        <v>7766</v>
      </c>
      <c r="AF68" s="46" t="s">
        <v>37</v>
      </c>
      <c r="AG68" s="746">
        <v>44358</v>
      </c>
      <c r="AH68" s="46"/>
      <c r="AI68" s="24"/>
      <c r="AJ68" s="1107"/>
    </row>
    <row r="69" spans="1:36" ht="51.75" x14ac:dyDescent="0.25">
      <c r="A69" s="488"/>
      <c r="B69" s="131"/>
      <c r="C69" s="75"/>
      <c r="D69" s="568"/>
      <c r="E69" s="568"/>
      <c r="F69" s="118"/>
      <c r="G69" s="118"/>
      <c r="H69" s="75"/>
      <c r="I69" s="118"/>
      <c r="J69" s="121"/>
      <c r="K69" s="188"/>
      <c r="L69" s="76"/>
      <c r="M69" s="915"/>
      <c r="N69" s="915"/>
      <c r="O69" s="75"/>
      <c r="P69" s="75"/>
      <c r="Q69" s="76"/>
      <c r="R69" s="75"/>
      <c r="S69" s="42" t="s">
        <v>101</v>
      </c>
      <c r="T69" s="43" t="s">
        <v>7756</v>
      </c>
      <c r="U69" s="24">
        <f>1950-330</f>
        <v>1620</v>
      </c>
      <c r="V69" s="24"/>
      <c r="W69" s="24"/>
      <c r="X69" s="24">
        <f>1950-437</f>
        <v>1513</v>
      </c>
      <c r="Y69" s="24"/>
      <c r="Z69" s="24"/>
      <c r="AA69" s="24" t="s">
        <v>10</v>
      </c>
      <c r="AB69" s="24" t="s">
        <v>16</v>
      </c>
      <c r="AC69" s="24">
        <v>2</v>
      </c>
      <c r="AD69" s="46" t="s">
        <v>7767</v>
      </c>
      <c r="AE69" s="46" t="s">
        <v>7766</v>
      </c>
      <c r="AF69" s="46" t="s">
        <v>37</v>
      </c>
      <c r="AG69" s="746">
        <v>44358</v>
      </c>
      <c r="AH69" s="46"/>
      <c r="AI69" s="24"/>
      <c r="AJ69" s="1107"/>
    </row>
    <row r="70" spans="1:36" ht="51.75" x14ac:dyDescent="0.25">
      <c r="A70" s="488"/>
      <c r="B70" s="131"/>
      <c r="C70" s="75"/>
      <c r="D70" s="568"/>
      <c r="E70" s="568"/>
      <c r="F70" s="118"/>
      <c r="G70" s="118"/>
      <c r="H70" s="75"/>
      <c r="I70" s="118"/>
      <c r="J70" s="121"/>
      <c r="K70" s="188"/>
      <c r="L70" s="76"/>
      <c r="M70" s="915"/>
      <c r="N70" s="915"/>
      <c r="O70" s="75"/>
      <c r="P70" s="75"/>
      <c r="Q70" s="76"/>
      <c r="R70" s="75"/>
      <c r="S70" s="42" t="s">
        <v>102</v>
      </c>
      <c r="T70" s="43" t="s">
        <v>7758</v>
      </c>
      <c r="U70" s="24">
        <f>1950-50</f>
        <v>1900</v>
      </c>
      <c r="V70" s="24"/>
      <c r="W70" s="24"/>
      <c r="X70" s="24">
        <f>1950-145</f>
        <v>1805</v>
      </c>
      <c r="Y70" s="24"/>
      <c r="Z70" s="24"/>
      <c r="AA70" s="24" t="s">
        <v>10</v>
      </c>
      <c r="AB70" s="24" t="s">
        <v>16</v>
      </c>
      <c r="AC70" s="24">
        <v>2</v>
      </c>
      <c r="AD70" s="46" t="s">
        <v>7767</v>
      </c>
      <c r="AE70" s="46" t="s">
        <v>7766</v>
      </c>
      <c r="AF70" s="46" t="s">
        <v>37</v>
      </c>
      <c r="AG70" s="746">
        <v>44358</v>
      </c>
      <c r="AH70" s="46"/>
      <c r="AI70" s="24"/>
      <c r="AJ70" s="1107"/>
    </row>
    <row r="71" spans="1:36" ht="51.75" x14ac:dyDescent="0.25">
      <c r="A71" s="488"/>
      <c r="B71" s="131"/>
      <c r="C71" s="75"/>
      <c r="D71" s="568"/>
      <c r="E71" s="568"/>
      <c r="F71" s="118"/>
      <c r="G71" s="118"/>
      <c r="H71" s="75"/>
      <c r="I71" s="118"/>
      <c r="J71" s="121"/>
      <c r="K71" s="188"/>
      <c r="L71" s="76"/>
      <c r="M71" s="915"/>
      <c r="N71" s="915"/>
      <c r="O71" s="75"/>
      <c r="P71" s="75"/>
      <c r="Q71" s="76"/>
      <c r="R71" s="75"/>
      <c r="S71" s="42" t="s">
        <v>103</v>
      </c>
      <c r="T71" s="43" t="s">
        <v>7757</v>
      </c>
      <c r="U71" s="24">
        <f>1950+147</f>
        <v>2097</v>
      </c>
      <c r="V71" s="24"/>
      <c r="W71" s="24"/>
      <c r="X71" s="24">
        <f>1950+78</f>
        <v>2028</v>
      </c>
      <c r="Y71" s="24"/>
      <c r="Z71" s="24"/>
      <c r="AA71" s="24" t="s">
        <v>10</v>
      </c>
      <c r="AB71" s="24" t="s">
        <v>16</v>
      </c>
      <c r="AC71" s="24">
        <v>2</v>
      </c>
      <c r="AD71" s="46" t="s">
        <v>7767</v>
      </c>
      <c r="AE71" s="46" t="s">
        <v>7766</v>
      </c>
      <c r="AF71" s="46" t="s">
        <v>37</v>
      </c>
      <c r="AG71" s="746">
        <v>44358</v>
      </c>
      <c r="AH71" s="46"/>
      <c r="AI71" s="24"/>
      <c r="AJ71" s="1107"/>
    </row>
    <row r="72" spans="1:36" ht="51.75" x14ac:dyDescent="0.25">
      <c r="A72" s="488"/>
      <c r="B72" s="131"/>
      <c r="C72" s="75"/>
      <c r="D72" s="568"/>
      <c r="E72" s="568"/>
      <c r="F72" s="118"/>
      <c r="G72" s="118"/>
      <c r="H72" s="75"/>
      <c r="I72" s="118"/>
      <c r="J72" s="121"/>
      <c r="K72" s="188"/>
      <c r="L72" s="76"/>
      <c r="M72" s="915"/>
      <c r="N72" s="915"/>
      <c r="O72" s="75"/>
      <c r="P72" s="75"/>
      <c r="Q72" s="76"/>
      <c r="R72" s="75"/>
      <c r="S72" s="42" t="s">
        <v>104</v>
      </c>
      <c r="T72" s="43" t="s">
        <v>7759</v>
      </c>
      <c r="U72" s="24">
        <f>1950+388</f>
        <v>2338</v>
      </c>
      <c r="V72" s="24"/>
      <c r="W72" s="24"/>
      <c r="X72" s="24">
        <f>1950+313</f>
        <v>2263</v>
      </c>
      <c r="Y72" s="24"/>
      <c r="Z72" s="24"/>
      <c r="AA72" s="24" t="s">
        <v>10</v>
      </c>
      <c r="AB72" s="24" t="s">
        <v>16</v>
      </c>
      <c r="AC72" s="24">
        <v>2</v>
      </c>
      <c r="AD72" s="46" t="s">
        <v>7767</v>
      </c>
      <c r="AE72" s="46" t="s">
        <v>7766</v>
      </c>
      <c r="AF72" s="46" t="s">
        <v>37</v>
      </c>
      <c r="AG72" s="746">
        <v>44358</v>
      </c>
      <c r="AH72" s="46"/>
      <c r="AI72" s="24"/>
      <c r="AJ72" s="1107"/>
    </row>
    <row r="73" spans="1:36" ht="51.75" x14ac:dyDescent="0.25">
      <c r="A73" s="488"/>
      <c r="B73" s="131"/>
      <c r="C73" s="75"/>
      <c r="D73" s="568"/>
      <c r="E73" s="568"/>
      <c r="F73" s="118"/>
      <c r="G73" s="118"/>
      <c r="H73" s="75"/>
      <c r="I73" s="118"/>
      <c r="J73" s="121"/>
      <c r="K73" s="188"/>
      <c r="L73" s="76"/>
      <c r="M73" s="915"/>
      <c r="N73" s="915"/>
      <c r="O73" s="75"/>
      <c r="P73" s="75"/>
      <c r="Q73" s="76"/>
      <c r="R73" s="75"/>
      <c r="S73" s="42" t="s">
        <v>105</v>
      </c>
      <c r="T73" s="43" t="s">
        <v>7760</v>
      </c>
      <c r="U73" s="24">
        <f>1950+592</f>
        <v>2542</v>
      </c>
      <c r="V73" s="24"/>
      <c r="W73" s="24"/>
      <c r="X73" s="24">
        <f>1950+498</f>
        <v>2448</v>
      </c>
      <c r="Y73" s="24"/>
      <c r="Z73" s="24"/>
      <c r="AA73" s="24" t="s">
        <v>10</v>
      </c>
      <c r="AB73" s="24" t="s">
        <v>16</v>
      </c>
      <c r="AC73" s="24">
        <v>2</v>
      </c>
      <c r="AD73" s="46" t="s">
        <v>7767</v>
      </c>
      <c r="AE73" s="46" t="s">
        <v>7766</v>
      </c>
      <c r="AF73" s="46" t="s">
        <v>37</v>
      </c>
      <c r="AG73" s="746">
        <v>44358</v>
      </c>
      <c r="AH73" s="46"/>
      <c r="AI73" s="24"/>
      <c r="AJ73" s="1107"/>
    </row>
    <row r="74" spans="1:36" ht="51.75" x14ac:dyDescent="0.25">
      <c r="A74" s="488"/>
      <c r="B74" s="131"/>
      <c r="C74" s="75"/>
      <c r="D74" s="568"/>
      <c r="E74" s="568"/>
      <c r="F74" s="118"/>
      <c r="G74" s="118"/>
      <c r="H74" s="75"/>
      <c r="I74" s="118"/>
      <c r="J74" s="121"/>
      <c r="K74" s="188"/>
      <c r="L74" s="76"/>
      <c r="M74" s="915"/>
      <c r="N74" s="915"/>
      <c r="O74" s="75"/>
      <c r="P74" s="75"/>
      <c r="Q74" s="76"/>
      <c r="R74" s="75"/>
      <c r="S74" s="42" t="s">
        <v>106</v>
      </c>
      <c r="T74" s="43" t="s">
        <v>7761</v>
      </c>
      <c r="U74" s="24">
        <f>1950+880</f>
        <v>2830</v>
      </c>
      <c r="V74" s="24"/>
      <c r="W74" s="24"/>
      <c r="X74" s="24">
        <f>1950+776</f>
        <v>2726</v>
      </c>
      <c r="Y74" s="24"/>
      <c r="Z74" s="24"/>
      <c r="AA74" s="24" t="s">
        <v>10</v>
      </c>
      <c r="AB74" s="24" t="s">
        <v>16</v>
      </c>
      <c r="AC74" s="24">
        <v>2</v>
      </c>
      <c r="AD74" s="46" t="s">
        <v>7767</v>
      </c>
      <c r="AE74" s="46" t="s">
        <v>7766</v>
      </c>
      <c r="AF74" s="46" t="s">
        <v>37</v>
      </c>
      <c r="AG74" s="746">
        <v>44358</v>
      </c>
      <c r="AH74" s="46"/>
      <c r="AI74" s="24"/>
      <c r="AJ74" s="1107"/>
    </row>
    <row r="75" spans="1:36" ht="51.75" x14ac:dyDescent="0.25">
      <c r="A75" s="488"/>
      <c r="B75" s="131"/>
      <c r="C75" s="75"/>
      <c r="D75" s="568"/>
      <c r="E75" s="568"/>
      <c r="F75" s="118"/>
      <c r="G75" s="118"/>
      <c r="H75" s="75"/>
      <c r="I75" s="118"/>
      <c r="J75" s="121"/>
      <c r="K75" s="188"/>
      <c r="L75" s="76"/>
      <c r="M75" s="915"/>
      <c r="N75" s="915"/>
      <c r="O75" s="75"/>
      <c r="P75" s="75"/>
      <c r="Q75" s="76"/>
      <c r="R75" s="75"/>
      <c r="S75" s="42" t="s">
        <v>107</v>
      </c>
      <c r="T75" s="43" t="s">
        <v>7762</v>
      </c>
      <c r="U75" s="24">
        <f>1950+1188</f>
        <v>3138</v>
      </c>
      <c r="V75" s="24"/>
      <c r="W75" s="24"/>
      <c r="X75" s="24">
        <f>1950+1066</f>
        <v>3016</v>
      </c>
      <c r="Y75" s="24"/>
      <c r="Z75" s="24"/>
      <c r="AA75" s="24" t="s">
        <v>10</v>
      </c>
      <c r="AB75" s="24" t="s">
        <v>16</v>
      </c>
      <c r="AC75" s="24">
        <v>2</v>
      </c>
      <c r="AD75" s="46" t="s">
        <v>7767</v>
      </c>
      <c r="AE75" s="46" t="s">
        <v>7766</v>
      </c>
      <c r="AF75" s="46" t="s">
        <v>37</v>
      </c>
      <c r="AG75" s="746">
        <v>44358</v>
      </c>
      <c r="AH75" s="46"/>
      <c r="AI75" s="24"/>
      <c r="AJ75" s="1107"/>
    </row>
    <row r="76" spans="1:36" ht="51.75" x14ac:dyDescent="0.25">
      <c r="A76" s="488"/>
      <c r="B76" s="131"/>
      <c r="C76" s="75"/>
      <c r="D76" s="568"/>
      <c r="E76" s="568"/>
      <c r="F76" s="118"/>
      <c r="G76" s="118"/>
      <c r="H76" s="75"/>
      <c r="I76" s="118"/>
      <c r="J76" s="121"/>
      <c r="K76" s="188"/>
      <c r="L76" s="76"/>
      <c r="M76" s="915"/>
      <c r="N76" s="915"/>
      <c r="O76" s="75"/>
      <c r="P76" s="75"/>
      <c r="Q76" s="76"/>
      <c r="R76" s="75"/>
      <c r="S76" s="42" t="s">
        <v>108</v>
      </c>
      <c r="T76" s="43" t="s">
        <v>7763</v>
      </c>
      <c r="U76" s="24">
        <f>1950+1438</f>
        <v>3388</v>
      </c>
      <c r="V76" s="24"/>
      <c r="W76" s="24"/>
      <c r="X76" s="24">
        <f>1950+1362</f>
        <v>3312</v>
      </c>
      <c r="Y76" s="24"/>
      <c r="Z76" s="24"/>
      <c r="AA76" s="24" t="s">
        <v>10</v>
      </c>
      <c r="AB76" s="24" t="s">
        <v>16</v>
      </c>
      <c r="AC76" s="24">
        <v>2</v>
      </c>
      <c r="AD76" s="46" t="s">
        <v>7767</v>
      </c>
      <c r="AE76" s="46" t="s">
        <v>7766</v>
      </c>
      <c r="AF76" s="46" t="s">
        <v>37</v>
      </c>
      <c r="AG76" s="746">
        <v>44358</v>
      </c>
      <c r="AH76" s="46"/>
      <c r="AI76" s="24"/>
      <c r="AJ76" s="1107"/>
    </row>
    <row r="77" spans="1:36" ht="51.75" x14ac:dyDescent="0.25">
      <c r="A77" s="488"/>
      <c r="B77" s="131"/>
      <c r="C77" s="75"/>
      <c r="D77" s="568"/>
      <c r="E77" s="568"/>
      <c r="F77" s="118"/>
      <c r="G77" s="118"/>
      <c r="H77" s="75"/>
      <c r="I77" s="118"/>
      <c r="J77" s="121"/>
      <c r="K77" s="188"/>
      <c r="L77" s="76"/>
      <c r="M77" s="915"/>
      <c r="N77" s="915"/>
      <c r="O77" s="75"/>
      <c r="P77" s="75"/>
      <c r="Q77" s="76"/>
      <c r="R77" s="75"/>
      <c r="S77" s="42" t="s">
        <v>109</v>
      </c>
      <c r="T77" s="43" t="s">
        <v>7764</v>
      </c>
      <c r="U77" s="24">
        <f>1950+1696</f>
        <v>3646</v>
      </c>
      <c r="V77" s="24"/>
      <c r="W77" s="24"/>
      <c r="X77" s="24">
        <f>1950+1596</f>
        <v>3546</v>
      </c>
      <c r="Y77" s="24"/>
      <c r="Z77" s="24"/>
      <c r="AA77" s="24" t="s">
        <v>10</v>
      </c>
      <c r="AB77" s="24" t="s">
        <v>16</v>
      </c>
      <c r="AC77" s="24">
        <v>2</v>
      </c>
      <c r="AD77" s="46" t="s">
        <v>7767</v>
      </c>
      <c r="AE77" s="46" t="s">
        <v>7766</v>
      </c>
      <c r="AF77" s="46" t="s">
        <v>37</v>
      </c>
      <c r="AG77" s="746">
        <v>44358</v>
      </c>
      <c r="AH77" s="46"/>
      <c r="AI77" s="24"/>
      <c r="AJ77" s="1107"/>
    </row>
    <row r="78" spans="1:36" ht="52.5" thickBot="1" x14ac:dyDescent="0.3">
      <c r="A78" s="488"/>
      <c r="B78" s="131"/>
      <c r="C78" s="75"/>
      <c r="D78" s="568"/>
      <c r="E78" s="568"/>
      <c r="F78" s="118"/>
      <c r="G78" s="118"/>
      <c r="H78" s="75"/>
      <c r="I78" s="118"/>
      <c r="J78" s="121"/>
      <c r="K78" s="192"/>
      <c r="L78" s="79"/>
      <c r="M78" s="916"/>
      <c r="N78" s="916"/>
      <c r="O78" s="78"/>
      <c r="P78" s="78"/>
      <c r="Q78" s="79"/>
      <c r="R78" s="78"/>
      <c r="S78" s="48" t="s">
        <v>110</v>
      </c>
      <c r="T78" s="49" t="s">
        <v>7765</v>
      </c>
      <c r="U78" s="25">
        <f>1950+1886</f>
        <v>3836</v>
      </c>
      <c r="V78" s="25"/>
      <c r="W78" s="25"/>
      <c r="X78" s="25">
        <f>1950+1770</f>
        <v>3720</v>
      </c>
      <c r="Y78" s="25"/>
      <c r="Z78" s="25"/>
      <c r="AA78" s="25" t="s">
        <v>10</v>
      </c>
      <c r="AB78" s="25" t="s">
        <v>16</v>
      </c>
      <c r="AC78" s="25">
        <v>2</v>
      </c>
      <c r="AD78" s="52" t="s">
        <v>7767</v>
      </c>
      <c r="AE78" s="52" t="s">
        <v>7766</v>
      </c>
      <c r="AF78" s="52" t="s">
        <v>37</v>
      </c>
      <c r="AG78" s="745">
        <v>44358</v>
      </c>
      <c r="AH78" s="52"/>
      <c r="AI78" s="25"/>
      <c r="AJ78" s="653"/>
    </row>
    <row r="79" spans="1:36" ht="64.5" x14ac:dyDescent="0.25">
      <c r="A79" s="488"/>
      <c r="B79" s="131"/>
      <c r="C79" s="75"/>
      <c r="D79" s="568"/>
      <c r="E79" s="568"/>
      <c r="F79" s="118"/>
      <c r="G79" s="118"/>
      <c r="H79" s="75"/>
      <c r="I79" s="118"/>
      <c r="J79" s="121"/>
      <c r="K79" s="188">
        <v>456</v>
      </c>
      <c r="L79" s="76" t="s">
        <v>3140</v>
      </c>
      <c r="M79" s="915">
        <v>1373206.9316</v>
      </c>
      <c r="N79" s="915">
        <v>5200307.6756999996</v>
      </c>
      <c r="O79" s="75" t="s">
        <v>41</v>
      </c>
      <c r="P79" s="75">
        <v>6</v>
      </c>
      <c r="Q79" s="76" t="s">
        <v>2156</v>
      </c>
      <c r="R79" s="77" t="s">
        <v>2156</v>
      </c>
      <c r="S79" s="42" t="s">
        <v>47</v>
      </c>
      <c r="T79" s="43" t="s">
        <v>7770</v>
      </c>
      <c r="U79" s="24">
        <f>1950-1668</f>
        <v>282</v>
      </c>
      <c r="V79" s="24"/>
      <c r="W79" s="24"/>
      <c r="X79" s="24">
        <f>1950-1732</f>
        <v>218</v>
      </c>
      <c r="Y79" s="24"/>
      <c r="Z79" s="24"/>
      <c r="AA79" s="24" t="s">
        <v>10</v>
      </c>
      <c r="AB79" s="24" t="s">
        <v>16</v>
      </c>
      <c r="AC79" s="24">
        <v>2</v>
      </c>
      <c r="AD79" s="45" t="s">
        <v>7768</v>
      </c>
      <c r="AE79" s="46" t="s">
        <v>7769</v>
      </c>
      <c r="AF79" s="46" t="s">
        <v>37</v>
      </c>
      <c r="AG79" s="746">
        <v>44358</v>
      </c>
      <c r="AH79" s="46"/>
      <c r="AI79" s="24"/>
      <c r="AJ79" s="1107"/>
    </row>
    <row r="80" spans="1:36" ht="51.75" x14ac:dyDescent="0.25">
      <c r="A80" s="488"/>
      <c r="B80" s="131"/>
      <c r="C80" s="75"/>
      <c r="D80" s="568"/>
      <c r="E80" s="568"/>
      <c r="F80" s="118"/>
      <c r="G80" s="118"/>
      <c r="H80" s="75"/>
      <c r="I80" s="118"/>
      <c r="J80" s="121"/>
      <c r="K80" s="188"/>
      <c r="L80" s="76"/>
      <c r="M80" s="915"/>
      <c r="N80" s="915"/>
      <c r="O80" s="75"/>
      <c r="P80" s="75"/>
      <c r="Q80" s="76"/>
      <c r="R80" s="77"/>
      <c r="S80" s="42" t="s">
        <v>91</v>
      </c>
      <c r="T80" s="43" t="s">
        <v>7771</v>
      </c>
      <c r="U80" s="24">
        <f>1950-1386</f>
        <v>564</v>
      </c>
      <c r="V80" s="24"/>
      <c r="W80" s="24"/>
      <c r="X80" s="24">
        <f>1950-1421</f>
        <v>529</v>
      </c>
      <c r="Y80" s="24"/>
      <c r="Z80" s="24"/>
      <c r="AA80" s="24" t="s">
        <v>10</v>
      </c>
      <c r="AB80" s="24" t="s">
        <v>16</v>
      </c>
      <c r="AC80" s="24">
        <v>2</v>
      </c>
      <c r="AD80" s="45" t="s">
        <v>7776</v>
      </c>
      <c r="AE80" s="46" t="s">
        <v>7769</v>
      </c>
      <c r="AF80" s="46" t="s">
        <v>37</v>
      </c>
      <c r="AG80" s="746">
        <v>44358</v>
      </c>
      <c r="AH80" s="46"/>
      <c r="AI80" s="24"/>
      <c r="AJ80" s="1107"/>
    </row>
    <row r="81" spans="1:36" ht="51.75" x14ac:dyDescent="0.25">
      <c r="A81" s="488"/>
      <c r="B81" s="131"/>
      <c r="C81" s="75"/>
      <c r="D81" s="568"/>
      <c r="E81" s="568"/>
      <c r="F81" s="118"/>
      <c r="G81" s="118"/>
      <c r="H81" s="75"/>
      <c r="I81" s="118"/>
      <c r="J81" s="121"/>
      <c r="K81" s="188"/>
      <c r="L81" s="76"/>
      <c r="M81" s="915"/>
      <c r="N81" s="915"/>
      <c r="O81" s="75"/>
      <c r="P81" s="75"/>
      <c r="Q81" s="76"/>
      <c r="R81" s="77"/>
      <c r="S81" s="42" t="s">
        <v>92</v>
      </c>
      <c r="T81" s="43" t="s">
        <v>7772</v>
      </c>
      <c r="U81" s="24">
        <f>1950-1060</f>
        <v>890</v>
      </c>
      <c r="V81" s="24"/>
      <c r="W81" s="24"/>
      <c r="X81" s="24">
        <f>1950-1183</f>
        <v>767</v>
      </c>
      <c r="Y81" s="24"/>
      <c r="Z81" s="24"/>
      <c r="AA81" s="24" t="s">
        <v>10</v>
      </c>
      <c r="AB81" s="24" t="s">
        <v>16</v>
      </c>
      <c r="AC81" s="24">
        <v>2</v>
      </c>
      <c r="AD81" s="45" t="s">
        <v>7776</v>
      </c>
      <c r="AE81" s="46" t="s">
        <v>7769</v>
      </c>
      <c r="AF81" s="46" t="s">
        <v>37</v>
      </c>
      <c r="AG81" s="746">
        <v>44358</v>
      </c>
      <c r="AH81" s="46"/>
      <c r="AI81" s="24"/>
      <c r="AJ81" s="1107"/>
    </row>
    <row r="82" spans="1:36" ht="51.75" x14ac:dyDescent="0.25">
      <c r="A82" s="488"/>
      <c r="B82" s="131"/>
      <c r="C82" s="75"/>
      <c r="D82" s="568"/>
      <c r="E82" s="568"/>
      <c r="F82" s="118"/>
      <c r="G82" s="118"/>
      <c r="H82" s="75"/>
      <c r="I82" s="118"/>
      <c r="J82" s="121"/>
      <c r="K82" s="188"/>
      <c r="L82" s="76"/>
      <c r="M82" s="915"/>
      <c r="N82" s="915"/>
      <c r="O82" s="75"/>
      <c r="P82" s="75"/>
      <c r="Q82" s="76"/>
      <c r="R82" s="77"/>
      <c r="S82" s="42" t="s">
        <v>99</v>
      </c>
      <c r="T82" s="43" t="s">
        <v>7773</v>
      </c>
      <c r="U82" s="24">
        <f>1950-822</f>
        <v>1128</v>
      </c>
      <c r="V82" s="24"/>
      <c r="W82" s="24"/>
      <c r="X82" s="24">
        <f>1950-1008</f>
        <v>942</v>
      </c>
      <c r="Y82" s="24"/>
      <c r="Z82" s="24"/>
      <c r="AA82" s="24" t="s">
        <v>10</v>
      </c>
      <c r="AB82" s="24" t="s">
        <v>16</v>
      </c>
      <c r="AC82" s="24">
        <v>2</v>
      </c>
      <c r="AD82" s="45" t="s">
        <v>7776</v>
      </c>
      <c r="AE82" s="46" t="s">
        <v>7769</v>
      </c>
      <c r="AF82" s="46" t="s">
        <v>37</v>
      </c>
      <c r="AG82" s="746">
        <v>44358</v>
      </c>
      <c r="AH82" s="46"/>
      <c r="AI82" s="24"/>
      <c r="AJ82" s="1107"/>
    </row>
    <row r="83" spans="1:36" ht="51.75" x14ac:dyDescent="0.25">
      <c r="A83" s="488"/>
      <c r="B83" s="131"/>
      <c r="C83" s="75"/>
      <c r="D83" s="568"/>
      <c r="E83" s="568"/>
      <c r="F83" s="118"/>
      <c r="G83" s="118"/>
      <c r="H83" s="75"/>
      <c r="I83" s="118"/>
      <c r="J83" s="121"/>
      <c r="K83" s="188"/>
      <c r="L83" s="76"/>
      <c r="M83" s="915"/>
      <c r="N83" s="915"/>
      <c r="O83" s="75"/>
      <c r="P83" s="75"/>
      <c r="Q83" s="76"/>
      <c r="R83" s="77"/>
      <c r="S83" s="42" t="s">
        <v>100</v>
      </c>
      <c r="T83" s="43" t="s">
        <v>7774</v>
      </c>
      <c r="U83" s="24">
        <f>1950-563</f>
        <v>1387</v>
      </c>
      <c r="V83" s="24"/>
      <c r="W83" s="24"/>
      <c r="X83" s="24">
        <f>1950-677</f>
        <v>1273</v>
      </c>
      <c r="Y83" s="24"/>
      <c r="Z83" s="24"/>
      <c r="AA83" s="24" t="s">
        <v>10</v>
      </c>
      <c r="AB83" s="24" t="s">
        <v>16</v>
      </c>
      <c r="AC83" s="24">
        <v>2</v>
      </c>
      <c r="AD83" s="45" t="s">
        <v>7776</v>
      </c>
      <c r="AE83" s="46" t="s">
        <v>7769</v>
      </c>
      <c r="AF83" s="46" t="s">
        <v>37</v>
      </c>
      <c r="AG83" s="746">
        <v>44358</v>
      </c>
      <c r="AH83" s="46"/>
      <c r="AI83" s="24"/>
      <c r="AJ83" s="1107"/>
    </row>
    <row r="84" spans="1:36" ht="52.5" thickBot="1" x14ac:dyDescent="0.3">
      <c r="A84" s="488"/>
      <c r="B84" s="131"/>
      <c r="C84" s="75"/>
      <c r="D84" s="568"/>
      <c r="E84" s="568"/>
      <c r="F84" s="118"/>
      <c r="G84" s="118"/>
      <c r="H84" s="75"/>
      <c r="I84" s="118"/>
      <c r="J84" s="121"/>
      <c r="K84" s="192"/>
      <c r="L84" s="79"/>
      <c r="M84" s="916"/>
      <c r="N84" s="916"/>
      <c r="O84" s="78"/>
      <c r="P84" s="78"/>
      <c r="Q84" s="79"/>
      <c r="R84" s="80"/>
      <c r="S84" s="48" t="s">
        <v>101</v>
      </c>
      <c r="T84" s="49" t="s">
        <v>7775</v>
      </c>
      <c r="U84" s="25">
        <f>1950-353</f>
        <v>1597</v>
      </c>
      <c r="V84" s="25"/>
      <c r="W84" s="25"/>
      <c r="X84" s="25">
        <f>1950-420</f>
        <v>1530</v>
      </c>
      <c r="Y84" s="25"/>
      <c r="Z84" s="25"/>
      <c r="AA84" s="25" t="s">
        <v>10</v>
      </c>
      <c r="AB84" s="25" t="s">
        <v>16</v>
      </c>
      <c r="AC84" s="25">
        <v>2</v>
      </c>
      <c r="AD84" s="51" t="s">
        <v>7776</v>
      </c>
      <c r="AE84" s="52" t="s">
        <v>7769</v>
      </c>
      <c r="AF84" s="52" t="s">
        <v>37</v>
      </c>
      <c r="AG84" s="745">
        <v>44358</v>
      </c>
      <c r="AH84" s="52"/>
      <c r="AI84" s="25"/>
      <c r="AJ84" s="653"/>
    </row>
    <row r="85" spans="1:36" x14ac:dyDescent="0.25">
      <c r="A85" s="488"/>
      <c r="B85" s="131"/>
      <c r="C85" s="75"/>
      <c r="D85" s="568"/>
      <c r="E85" s="568"/>
      <c r="F85" s="118"/>
      <c r="G85" s="118"/>
      <c r="H85" s="75"/>
      <c r="I85" s="118"/>
      <c r="J85" s="121"/>
      <c r="K85" s="187">
        <v>492</v>
      </c>
      <c r="L85" s="73" t="s">
        <v>3275</v>
      </c>
      <c r="M85" s="914">
        <v>1448205.5445999999</v>
      </c>
      <c r="N85" s="914">
        <v>5248996.9663000004</v>
      </c>
      <c r="O85" s="72" t="s">
        <v>41</v>
      </c>
      <c r="P85" s="72" t="s">
        <v>2156</v>
      </c>
      <c r="Q85" s="73" t="s">
        <v>2156</v>
      </c>
      <c r="R85" s="74" t="s">
        <v>2156</v>
      </c>
      <c r="S85" s="38"/>
      <c r="T85" s="39"/>
      <c r="U85" s="31"/>
      <c r="V85" s="31"/>
      <c r="W85" s="31"/>
      <c r="X85" s="31"/>
      <c r="Y85" s="31"/>
      <c r="Z85" s="31"/>
      <c r="AA85" s="31"/>
      <c r="AB85" s="31"/>
      <c r="AC85" s="31"/>
      <c r="AD85" s="40"/>
      <c r="AE85" s="40"/>
      <c r="AF85" s="40"/>
      <c r="AG85" s="31"/>
      <c r="AH85" s="40"/>
      <c r="AI85" s="31"/>
      <c r="AJ85" s="652"/>
    </row>
    <row r="86" spans="1:36" x14ac:dyDescent="0.25">
      <c r="A86" s="488"/>
      <c r="B86" s="131"/>
      <c r="C86" s="75"/>
      <c r="D86" s="568"/>
      <c r="E86" s="568"/>
      <c r="F86" s="118"/>
      <c r="G86" s="118"/>
      <c r="H86" s="75"/>
      <c r="I86" s="118"/>
      <c r="J86" s="121"/>
      <c r="K86" s="188">
        <v>493</v>
      </c>
      <c r="L86" s="76" t="s">
        <v>3276</v>
      </c>
      <c r="M86" s="915">
        <v>1448210.3326999999</v>
      </c>
      <c r="N86" s="915">
        <v>5249163.4841</v>
      </c>
      <c r="O86" s="75" t="s">
        <v>41</v>
      </c>
      <c r="P86" s="75" t="s">
        <v>2156</v>
      </c>
      <c r="Q86" s="76" t="s">
        <v>2156</v>
      </c>
      <c r="R86" s="77" t="s">
        <v>2156</v>
      </c>
      <c r="S86" s="42"/>
      <c r="T86" s="43"/>
      <c r="U86" s="24"/>
      <c r="V86" s="24"/>
      <c r="W86" s="24"/>
      <c r="X86" s="24"/>
      <c r="Y86" s="24"/>
      <c r="Z86" s="24"/>
      <c r="AA86" s="24"/>
      <c r="AB86" s="24"/>
      <c r="AC86" s="24"/>
      <c r="AD86" s="46"/>
      <c r="AE86" s="46"/>
      <c r="AF86" s="46"/>
      <c r="AG86" s="24"/>
      <c r="AH86" s="46"/>
      <c r="AI86" s="24"/>
      <c r="AJ86" s="1107"/>
    </row>
    <row r="87" spans="1:36" ht="39" x14ac:dyDescent="0.25">
      <c r="A87" s="488"/>
      <c r="B87" s="131"/>
      <c r="C87" s="75"/>
      <c r="D87" s="568"/>
      <c r="E87" s="568"/>
      <c r="F87" s="118"/>
      <c r="G87" s="118"/>
      <c r="H87" s="75"/>
      <c r="I87" s="118"/>
      <c r="J87" s="121"/>
      <c r="K87" s="188" t="s">
        <v>2156</v>
      </c>
      <c r="L87" s="76" t="s">
        <v>3323</v>
      </c>
      <c r="M87" s="915"/>
      <c r="N87" s="915"/>
      <c r="O87" s="75" t="s">
        <v>41</v>
      </c>
      <c r="P87" s="75">
        <v>2</v>
      </c>
      <c r="Q87" s="76" t="s">
        <v>2156</v>
      </c>
      <c r="R87" s="77" t="s">
        <v>2156</v>
      </c>
      <c r="S87" s="42" t="s">
        <v>47</v>
      </c>
      <c r="T87" s="43" t="s">
        <v>3273</v>
      </c>
      <c r="U87" s="24">
        <f>1950-1703</f>
        <v>247</v>
      </c>
      <c r="V87" s="24"/>
      <c r="W87" s="24"/>
      <c r="X87" s="24">
        <f>1950-1845</f>
        <v>105</v>
      </c>
      <c r="Y87" s="24"/>
      <c r="Z87" s="24"/>
      <c r="AA87" s="24" t="s">
        <v>16</v>
      </c>
      <c r="AB87" s="24" t="s">
        <v>16</v>
      </c>
      <c r="AC87" s="24">
        <v>2</v>
      </c>
      <c r="AD87" s="46" t="s">
        <v>3550</v>
      </c>
      <c r="AE87" s="46" t="s">
        <v>3264</v>
      </c>
      <c r="AF87" s="46" t="s">
        <v>37</v>
      </c>
      <c r="AG87" s="746">
        <v>44138</v>
      </c>
      <c r="AH87" s="46"/>
      <c r="AI87" s="24"/>
      <c r="AJ87" s="1107"/>
    </row>
    <row r="88" spans="1:36" ht="65.25" thickBot="1" x14ac:dyDescent="0.3">
      <c r="A88" s="488"/>
      <c r="B88" s="131"/>
      <c r="C88" s="75"/>
      <c r="D88" s="568"/>
      <c r="E88" s="568"/>
      <c r="F88" s="118"/>
      <c r="G88" s="118"/>
      <c r="H88" s="75"/>
      <c r="I88" s="118"/>
      <c r="J88" s="121"/>
      <c r="K88" s="192"/>
      <c r="L88" s="79"/>
      <c r="M88" s="916"/>
      <c r="N88" s="916"/>
      <c r="O88" s="78"/>
      <c r="P88" s="78"/>
      <c r="Q88" s="79"/>
      <c r="R88" s="80"/>
      <c r="S88" s="48" t="s">
        <v>91</v>
      </c>
      <c r="T88" s="49" t="s">
        <v>3274</v>
      </c>
      <c r="U88" s="25">
        <f>1950-1684</f>
        <v>266</v>
      </c>
      <c r="V88" s="25"/>
      <c r="W88" s="25"/>
      <c r="X88" s="25">
        <f>1950-1814</f>
        <v>136</v>
      </c>
      <c r="Y88" s="25"/>
      <c r="Z88" s="25"/>
      <c r="AA88" s="25" t="s">
        <v>16</v>
      </c>
      <c r="AB88" s="25" t="s">
        <v>16</v>
      </c>
      <c r="AC88" s="25">
        <v>2</v>
      </c>
      <c r="AD88" s="52" t="s">
        <v>3555</v>
      </c>
      <c r="AE88" s="52" t="s">
        <v>3264</v>
      </c>
      <c r="AF88" s="52" t="s">
        <v>37</v>
      </c>
      <c r="AG88" s="745">
        <v>44138</v>
      </c>
      <c r="AH88" s="52"/>
      <c r="AI88" s="25"/>
      <c r="AJ88" s="653"/>
    </row>
    <row r="89" spans="1:36" ht="39" x14ac:dyDescent="0.25">
      <c r="A89" s="488"/>
      <c r="B89" s="131"/>
      <c r="C89" s="75"/>
      <c r="D89" s="568"/>
      <c r="E89" s="568"/>
      <c r="F89" s="118"/>
      <c r="G89" s="118"/>
      <c r="H89" s="75"/>
      <c r="I89" s="118"/>
      <c r="J89" s="121"/>
      <c r="K89" s="187">
        <v>494</v>
      </c>
      <c r="L89" s="73" t="s">
        <v>3277</v>
      </c>
      <c r="M89" s="914">
        <v>1446994.2226</v>
      </c>
      <c r="N89" s="914">
        <v>5248497.5295000002</v>
      </c>
      <c r="O89" s="72" t="s">
        <v>41</v>
      </c>
      <c r="P89" s="72">
        <v>2</v>
      </c>
      <c r="Q89" s="73" t="s">
        <v>2156</v>
      </c>
      <c r="R89" s="74" t="s">
        <v>2156</v>
      </c>
      <c r="S89" s="38" t="s">
        <v>47</v>
      </c>
      <c r="T89" s="39" t="s">
        <v>3279</v>
      </c>
      <c r="U89" s="31">
        <f>1950-1687</f>
        <v>263</v>
      </c>
      <c r="V89" s="31"/>
      <c r="W89" s="31"/>
      <c r="X89" s="31">
        <f>1950-1841</f>
        <v>109</v>
      </c>
      <c r="Y89" s="31"/>
      <c r="Z89" s="31"/>
      <c r="AA89" s="31" t="s">
        <v>16</v>
      </c>
      <c r="AB89" s="31" t="s">
        <v>16</v>
      </c>
      <c r="AC89" s="31">
        <v>2</v>
      </c>
      <c r="AD89" s="40" t="s">
        <v>3549</v>
      </c>
      <c r="AE89" s="40" t="s">
        <v>3264</v>
      </c>
      <c r="AF89" s="40" t="s">
        <v>37</v>
      </c>
      <c r="AG89" s="744">
        <v>44140</v>
      </c>
      <c r="AH89" s="40"/>
      <c r="AI89" s="31"/>
      <c r="AJ89" s="652"/>
    </row>
    <row r="90" spans="1:36" ht="78" thickBot="1" x14ac:dyDescent="0.3">
      <c r="A90" s="488"/>
      <c r="B90" s="131"/>
      <c r="C90" s="75"/>
      <c r="D90" s="568"/>
      <c r="E90" s="568"/>
      <c r="F90" s="118"/>
      <c r="G90" s="118"/>
      <c r="H90" s="75"/>
      <c r="I90" s="118"/>
      <c r="J90" s="121"/>
      <c r="K90" s="192"/>
      <c r="L90" s="79"/>
      <c r="M90" s="916"/>
      <c r="N90" s="916"/>
      <c r="O90" s="78"/>
      <c r="P90" s="78"/>
      <c r="Q90" s="79"/>
      <c r="R90" s="80"/>
      <c r="S90" s="48" t="s">
        <v>91</v>
      </c>
      <c r="T90" s="49" t="s">
        <v>3280</v>
      </c>
      <c r="U90" s="25">
        <f>1950-1624</f>
        <v>326</v>
      </c>
      <c r="V90" s="25"/>
      <c r="W90" s="25"/>
      <c r="X90" s="25">
        <f>1950-1933</f>
        <v>17</v>
      </c>
      <c r="Y90" s="25"/>
      <c r="Z90" s="25"/>
      <c r="AA90" s="25" t="s">
        <v>16</v>
      </c>
      <c r="AB90" s="25" t="s">
        <v>16</v>
      </c>
      <c r="AC90" s="25">
        <v>2</v>
      </c>
      <c r="AD90" s="52" t="s">
        <v>3554</v>
      </c>
      <c r="AE90" s="52" t="s">
        <v>3264</v>
      </c>
      <c r="AF90" s="52" t="s">
        <v>37</v>
      </c>
      <c r="AG90" s="745">
        <v>44140</v>
      </c>
      <c r="AH90" s="52"/>
      <c r="AI90" s="25"/>
      <c r="AJ90" s="653"/>
    </row>
    <row r="91" spans="1:36" ht="52.5" thickBot="1" x14ac:dyDescent="0.3">
      <c r="A91" s="488"/>
      <c r="B91" s="131"/>
      <c r="C91" s="75"/>
      <c r="D91" s="568"/>
      <c r="E91" s="568"/>
      <c r="F91" s="118"/>
      <c r="G91" s="118"/>
      <c r="H91" s="75"/>
      <c r="I91" s="118"/>
      <c r="J91" s="121"/>
      <c r="K91" s="192">
        <v>495</v>
      </c>
      <c r="L91" s="79" t="s">
        <v>3278</v>
      </c>
      <c r="M91" s="916">
        <v>1446980.6672</v>
      </c>
      <c r="N91" s="916">
        <v>5248490.3282000003</v>
      </c>
      <c r="O91" s="78" t="s">
        <v>41</v>
      </c>
      <c r="P91" s="78">
        <v>1</v>
      </c>
      <c r="Q91" s="79" t="s">
        <v>2156</v>
      </c>
      <c r="R91" s="80" t="s">
        <v>2156</v>
      </c>
      <c r="S91" s="48" t="s">
        <v>47</v>
      </c>
      <c r="T91" s="49" t="s">
        <v>3281</v>
      </c>
      <c r="U91" s="25">
        <f>1950-1696</f>
        <v>254</v>
      </c>
      <c r="V91" s="25"/>
      <c r="W91" s="25"/>
      <c r="X91" s="25">
        <f>1950-1844</f>
        <v>106</v>
      </c>
      <c r="Y91" s="25"/>
      <c r="Z91" s="25"/>
      <c r="AA91" s="25" t="s">
        <v>16</v>
      </c>
      <c r="AB91" s="25" t="s">
        <v>16</v>
      </c>
      <c r="AC91" s="25">
        <v>2</v>
      </c>
      <c r="AD91" s="52" t="s">
        <v>3551</v>
      </c>
      <c r="AE91" s="52" t="s">
        <v>3264</v>
      </c>
      <c r="AF91" s="52" t="s">
        <v>37</v>
      </c>
      <c r="AG91" s="745">
        <v>44140</v>
      </c>
      <c r="AH91" s="52"/>
      <c r="AI91" s="25"/>
      <c r="AJ91" s="653"/>
    </row>
    <row r="92" spans="1:36" ht="64.5" x14ac:dyDescent="0.25">
      <c r="A92" s="488"/>
      <c r="B92" s="131"/>
      <c r="C92" s="75"/>
      <c r="D92" s="568"/>
      <c r="E92" s="568"/>
      <c r="F92" s="118"/>
      <c r="G92" s="118"/>
      <c r="H92" s="75"/>
      <c r="I92" s="118"/>
      <c r="J92" s="121"/>
      <c r="K92" s="188">
        <v>503</v>
      </c>
      <c r="L92" s="76" t="s">
        <v>3319</v>
      </c>
      <c r="M92" s="915">
        <v>1284075.0866</v>
      </c>
      <c r="N92" s="915">
        <v>5130632.2384000001</v>
      </c>
      <c r="O92" s="75" t="s">
        <v>41</v>
      </c>
      <c r="P92" s="75">
        <v>3</v>
      </c>
      <c r="Q92" s="76" t="s">
        <v>2156</v>
      </c>
      <c r="R92" s="77" t="s">
        <v>2156</v>
      </c>
      <c r="S92" s="42" t="s">
        <v>47</v>
      </c>
      <c r="T92" s="43" t="s">
        <v>3326</v>
      </c>
      <c r="U92" s="24">
        <f>1950-1370</f>
        <v>580</v>
      </c>
      <c r="V92" s="24"/>
      <c r="W92" s="24"/>
      <c r="X92" s="24">
        <f>1950-1840</f>
        <v>110</v>
      </c>
      <c r="Y92" s="24"/>
      <c r="Z92" s="24"/>
      <c r="AA92" s="24" t="s">
        <v>16</v>
      </c>
      <c r="AB92" s="24" t="s">
        <v>10</v>
      </c>
      <c r="AC92" s="24">
        <v>2</v>
      </c>
      <c r="AD92" s="46" t="s">
        <v>4183</v>
      </c>
      <c r="AE92" s="46" t="s">
        <v>7886</v>
      </c>
      <c r="AF92" s="46" t="s">
        <v>37</v>
      </c>
      <c r="AG92" s="746">
        <v>44140</v>
      </c>
      <c r="AH92" s="46"/>
      <c r="AI92" s="24"/>
      <c r="AJ92" s="1107"/>
    </row>
    <row r="93" spans="1:36" ht="51.75" x14ac:dyDescent="0.25">
      <c r="A93" s="488"/>
      <c r="B93" s="131"/>
      <c r="C93" s="75"/>
      <c r="D93" s="568"/>
      <c r="E93" s="568"/>
      <c r="F93" s="118"/>
      <c r="G93" s="118"/>
      <c r="H93" s="75"/>
      <c r="I93" s="118"/>
      <c r="J93" s="121"/>
      <c r="K93" s="188"/>
      <c r="L93" s="76"/>
      <c r="M93" s="915"/>
      <c r="N93" s="915"/>
      <c r="O93" s="75"/>
      <c r="P93" s="75"/>
      <c r="Q93" s="76"/>
      <c r="R93" s="77"/>
      <c r="S93" s="42" t="s">
        <v>91</v>
      </c>
      <c r="T93" s="43" t="s">
        <v>3325</v>
      </c>
      <c r="U93" s="24">
        <f>1950-1156</f>
        <v>794</v>
      </c>
      <c r="V93" s="43"/>
      <c r="W93" s="24"/>
      <c r="X93" s="24">
        <f>1950-1404</f>
        <v>546</v>
      </c>
      <c r="Y93" s="24"/>
      <c r="Z93" s="24"/>
      <c r="AA93" s="24" t="s">
        <v>16</v>
      </c>
      <c r="AB93" s="24" t="s">
        <v>10</v>
      </c>
      <c r="AC93" s="24">
        <v>2</v>
      </c>
      <c r="AD93" s="46" t="s">
        <v>4184</v>
      </c>
      <c r="AE93" s="46" t="s">
        <v>7886</v>
      </c>
      <c r="AF93" s="46" t="s">
        <v>37</v>
      </c>
      <c r="AG93" s="746">
        <v>44140</v>
      </c>
      <c r="AH93" s="46"/>
      <c r="AI93" s="24"/>
      <c r="AJ93" s="1107"/>
    </row>
    <row r="94" spans="1:36" ht="52.5" thickBot="1" x14ac:dyDescent="0.3">
      <c r="A94" s="488"/>
      <c r="B94" s="131"/>
      <c r="C94" s="75"/>
      <c r="D94" s="568"/>
      <c r="E94" s="568"/>
      <c r="F94" s="118"/>
      <c r="G94" s="118"/>
      <c r="H94" s="75"/>
      <c r="I94" s="118"/>
      <c r="J94" s="121"/>
      <c r="K94" s="188"/>
      <c r="L94" s="76"/>
      <c r="M94" s="915"/>
      <c r="N94" s="915"/>
      <c r="O94" s="75"/>
      <c r="P94" s="75"/>
      <c r="Q94" s="76"/>
      <c r="R94" s="77"/>
      <c r="S94" s="48" t="s">
        <v>92</v>
      </c>
      <c r="T94" s="49" t="s">
        <v>3324</v>
      </c>
      <c r="U94" s="25">
        <f>1950-1029</f>
        <v>921</v>
      </c>
      <c r="V94" s="25"/>
      <c r="W94" s="25"/>
      <c r="X94" s="25">
        <f>1950-1185</f>
        <v>765</v>
      </c>
      <c r="Y94" s="24"/>
      <c r="Z94" s="24"/>
      <c r="AA94" s="24" t="s">
        <v>16</v>
      </c>
      <c r="AB94" s="24" t="s">
        <v>10</v>
      </c>
      <c r="AC94" s="24">
        <v>2</v>
      </c>
      <c r="AD94" s="46" t="s">
        <v>4184</v>
      </c>
      <c r="AE94" s="46" t="s">
        <v>7886</v>
      </c>
      <c r="AF94" s="46" t="s">
        <v>37</v>
      </c>
      <c r="AG94" s="746">
        <v>44140</v>
      </c>
      <c r="AH94" s="46"/>
      <c r="AI94" s="24"/>
      <c r="AJ94" s="1107"/>
    </row>
    <row r="95" spans="1:36" x14ac:dyDescent="0.25">
      <c r="A95" s="488"/>
      <c r="B95" s="131"/>
      <c r="C95" s="75"/>
      <c r="D95" s="568"/>
      <c r="E95" s="568"/>
      <c r="F95" s="118"/>
      <c r="G95" s="118"/>
      <c r="H95" s="75"/>
      <c r="I95" s="118"/>
      <c r="J95" s="121"/>
      <c r="K95" s="187">
        <v>504</v>
      </c>
      <c r="L95" s="73" t="s">
        <v>3320</v>
      </c>
      <c r="M95" s="914">
        <v>1277919.1529999999</v>
      </c>
      <c r="N95" s="914">
        <v>5126563.1207999997</v>
      </c>
      <c r="O95" s="72" t="s">
        <v>41</v>
      </c>
      <c r="P95" s="72">
        <v>3</v>
      </c>
      <c r="Q95" s="73" t="s">
        <v>2156</v>
      </c>
      <c r="R95" s="74" t="s">
        <v>2156</v>
      </c>
      <c r="S95" s="38"/>
      <c r="T95" s="39"/>
      <c r="U95" s="31"/>
      <c r="V95" s="31"/>
      <c r="W95" s="31"/>
      <c r="X95" s="31"/>
      <c r="Y95" s="31"/>
      <c r="Z95" s="31"/>
      <c r="AA95" s="31"/>
      <c r="AB95" s="31"/>
      <c r="AC95" s="31"/>
      <c r="AD95" s="40"/>
      <c r="AE95" s="40"/>
      <c r="AF95" s="40"/>
      <c r="AG95" s="31"/>
      <c r="AH95" s="40"/>
      <c r="AI95" s="31"/>
      <c r="AJ95" s="652"/>
    </row>
    <row r="96" spans="1:36" x14ac:dyDescent="0.25">
      <c r="A96" s="488"/>
      <c r="B96" s="131"/>
      <c r="C96" s="75"/>
      <c r="D96" s="568"/>
      <c r="E96" s="568"/>
      <c r="F96" s="118"/>
      <c r="G96" s="118"/>
      <c r="H96" s="75"/>
      <c r="I96" s="118"/>
      <c r="J96" s="121"/>
      <c r="K96" s="188">
        <v>505</v>
      </c>
      <c r="L96" s="76" t="s">
        <v>3321</v>
      </c>
      <c r="M96" s="915">
        <v>1277883.0876</v>
      </c>
      <c r="N96" s="915">
        <v>5126532.2620999999</v>
      </c>
      <c r="O96" s="75" t="s">
        <v>41</v>
      </c>
      <c r="P96" s="75">
        <v>3</v>
      </c>
      <c r="Q96" s="76" t="s">
        <v>2156</v>
      </c>
      <c r="R96" s="77" t="s">
        <v>2156</v>
      </c>
      <c r="S96" s="42"/>
      <c r="T96" s="43"/>
      <c r="U96" s="24"/>
      <c r="V96" s="24"/>
      <c r="W96" s="24"/>
      <c r="X96" s="24"/>
      <c r="Y96" s="24"/>
      <c r="Z96" s="24"/>
      <c r="AA96" s="24"/>
      <c r="AB96" s="24"/>
      <c r="AC96" s="24"/>
      <c r="AD96" s="46"/>
      <c r="AE96" s="46"/>
      <c r="AF96" s="46"/>
      <c r="AG96" s="24"/>
      <c r="AH96" s="46"/>
      <c r="AI96" s="24"/>
      <c r="AJ96" s="1107"/>
    </row>
    <row r="97" spans="1:36" ht="77.25" x14ac:dyDescent="0.25">
      <c r="A97" s="488"/>
      <c r="B97" s="131"/>
      <c r="C97" s="75"/>
      <c r="D97" s="568"/>
      <c r="E97" s="568"/>
      <c r="F97" s="118"/>
      <c r="G97" s="118"/>
      <c r="H97" s="75"/>
      <c r="I97" s="118"/>
      <c r="J97" s="121"/>
      <c r="K97" s="188" t="s">
        <v>2156</v>
      </c>
      <c r="L97" s="76" t="s">
        <v>3327</v>
      </c>
      <c r="M97" s="915" t="s">
        <v>2156</v>
      </c>
      <c r="N97" s="915" t="s">
        <v>2156</v>
      </c>
      <c r="O97" s="75" t="s">
        <v>41</v>
      </c>
      <c r="P97" s="75">
        <v>3</v>
      </c>
      <c r="Q97" s="76" t="s">
        <v>2156</v>
      </c>
      <c r="R97" s="77" t="s">
        <v>2156</v>
      </c>
      <c r="S97" s="42" t="s">
        <v>47</v>
      </c>
      <c r="T97" s="43" t="s">
        <v>3328</v>
      </c>
      <c r="U97" s="24">
        <f>1950-1502</f>
        <v>448</v>
      </c>
      <c r="V97" s="24"/>
      <c r="W97" s="24"/>
      <c r="X97" s="24">
        <f>1950-1795</f>
        <v>155</v>
      </c>
      <c r="Y97" s="24"/>
      <c r="Z97" s="24"/>
      <c r="AA97" s="24" t="s">
        <v>16</v>
      </c>
      <c r="AB97" s="24" t="s">
        <v>10</v>
      </c>
      <c r="AC97" s="24">
        <v>2</v>
      </c>
      <c r="AD97" s="46" t="s">
        <v>4185</v>
      </c>
      <c r="AE97" s="46" t="s">
        <v>7886</v>
      </c>
      <c r="AF97" s="46" t="s">
        <v>37</v>
      </c>
      <c r="AG97" s="746">
        <v>44140</v>
      </c>
      <c r="AH97" s="46"/>
      <c r="AI97" s="24"/>
      <c r="AJ97" s="1107"/>
    </row>
    <row r="98" spans="1:36" ht="51.75" x14ac:dyDescent="0.25">
      <c r="A98" s="488"/>
      <c r="B98" s="131"/>
      <c r="C98" s="75"/>
      <c r="D98" s="568"/>
      <c r="E98" s="568"/>
      <c r="F98" s="118"/>
      <c r="G98" s="118"/>
      <c r="H98" s="75"/>
      <c r="I98" s="118"/>
      <c r="J98" s="121"/>
      <c r="K98" s="188"/>
      <c r="L98" s="76"/>
      <c r="M98" s="915"/>
      <c r="N98" s="915"/>
      <c r="O98" s="75"/>
      <c r="P98" s="75"/>
      <c r="Q98" s="76"/>
      <c r="R98" s="77"/>
      <c r="S98" s="42" t="s">
        <v>91</v>
      </c>
      <c r="T98" s="43" t="s">
        <v>3329</v>
      </c>
      <c r="U98" s="24">
        <f>1950-1345</f>
        <v>605</v>
      </c>
      <c r="V98" s="24"/>
      <c r="W98" s="24"/>
      <c r="X98" s="24">
        <f>1950-1645</f>
        <v>305</v>
      </c>
      <c r="Y98" s="24"/>
      <c r="Z98" s="24"/>
      <c r="AA98" s="24" t="s">
        <v>16</v>
      </c>
      <c r="AB98" s="24" t="s">
        <v>10</v>
      </c>
      <c r="AC98" s="24">
        <v>2</v>
      </c>
      <c r="AD98" s="46" t="s">
        <v>4186</v>
      </c>
      <c r="AE98" s="46" t="s">
        <v>7886</v>
      </c>
      <c r="AF98" s="46" t="s">
        <v>37</v>
      </c>
      <c r="AG98" s="746">
        <v>44140</v>
      </c>
      <c r="AH98" s="46"/>
      <c r="AI98" s="24"/>
      <c r="AJ98" s="1107"/>
    </row>
    <row r="99" spans="1:36" ht="52.5" thickBot="1" x14ac:dyDescent="0.3">
      <c r="A99" s="488"/>
      <c r="B99" s="131"/>
      <c r="C99" s="75"/>
      <c r="D99" s="568"/>
      <c r="E99" s="568"/>
      <c r="F99" s="118"/>
      <c r="G99" s="118"/>
      <c r="H99" s="75"/>
      <c r="I99" s="118"/>
      <c r="J99" s="121"/>
      <c r="K99" s="192"/>
      <c r="L99" s="79"/>
      <c r="M99" s="916"/>
      <c r="N99" s="916"/>
      <c r="O99" s="78"/>
      <c r="P99" s="78"/>
      <c r="Q99" s="79"/>
      <c r="R99" s="80"/>
      <c r="S99" s="42" t="s">
        <v>92</v>
      </c>
      <c r="T99" s="43" t="s">
        <v>3330</v>
      </c>
      <c r="U99" s="24">
        <f>1950-946</f>
        <v>1004</v>
      </c>
      <c r="V99" s="24"/>
      <c r="W99" s="24"/>
      <c r="X99" s="24">
        <f>1950-1390</f>
        <v>560</v>
      </c>
      <c r="Y99" s="24"/>
      <c r="Z99" s="24"/>
      <c r="AA99" s="24" t="s">
        <v>16</v>
      </c>
      <c r="AB99" s="24" t="s">
        <v>10</v>
      </c>
      <c r="AC99" s="24">
        <v>2</v>
      </c>
      <c r="AD99" s="46" t="s">
        <v>4186</v>
      </c>
      <c r="AE99" s="46" t="s">
        <v>7886</v>
      </c>
      <c r="AF99" s="46" t="s">
        <v>37</v>
      </c>
      <c r="AG99" s="746">
        <v>44140</v>
      </c>
      <c r="AH99" s="46"/>
      <c r="AI99" s="24"/>
      <c r="AJ99" s="1107"/>
    </row>
    <row r="100" spans="1:36" ht="51.75" x14ac:dyDescent="0.25">
      <c r="A100" s="488"/>
      <c r="B100" s="131"/>
      <c r="C100" s="75"/>
      <c r="D100" s="568"/>
      <c r="E100" s="568"/>
      <c r="F100" s="118"/>
      <c r="G100" s="118"/>
      <c r="H100" s="75"/>
      <c r="I100" s="118"/>
      <c r="J100" s="121"/>
      <c r="K100" s="187">
        <v>506</v>
      </c>
      <c r="L100" s="73" t="s">
        <v>3322</v>
      </c>
      <c r="M100" s="914">
        <v>1274274.3245000001</v>
      </c>
      <c r="N100" s="914">
        <v>5124146.3404000001</v>
      </c>
      <c r="O100" s="72" t="s">
        <v>41</v>
      </c>
      <c r="P100" s="72">
        <v>2</v>
      </c>
      <c r="Q100" s="73" t="s">
        <v>2156</v>
      </c>
      <c r="R100" s="74" t="s">
        <v>2156</v>
      </c>
      <c r="S100" s="38" t="s">
        <v>91</v>
      </c>
      <c r="T100" s="39" t="s">
        <v>3331</v>
      </c>
      <c r="U100" s="31">
        <f>1950-1147</f>
        <v>803</v>
      </c>
      <c r="V100" s="31"/>
      <c r="W100" s="31"/>
      <c r="X100" s="31">
        <f>1950-1836</f>
        <v>114</v>
      </c>
      <c r="Y100" s="31"/>
      <c r="Z100" s="31"/>
      <c r="AA100" s="31" t="s">
        <v>16</v>
      </c>
      <c r="AB100" s="31" t="s">
        <v>10</v>
      </c>
      <c r="AC100" s="31">
        <v>2</v>
      </c>
      <c r="AD100" s="40" t="s">
        <v>4186</v>
      </c>
      <c r="AE100" s="40" t="s">
        <v>7886</v>
      </c>
      <c r="AF100" s="40" t="s">
        <v>37</v>
      </c>
      <c r="AG100" s="744">
        <v>44140</v>
      </c>
      <c r="AH100" s="40"/>
      <c r="AI100" s="31"/>
      <c r="AJ100" s="652"/>
    </row>
    <row r="101" spans="1:36" ht="52.5" thickBot="1" x14ac:dyDescent="0.3">
      <c r="A101" s="488"/>
      <c r="B101" s="131"/>
      <c r="C101" s="75"/>
      <c r="D101" s="568"/>
      <c r="E101" s="568"/>
      <c r="F101" s="118"/>
      <c r="G101" s="118"/>
      <c r="H101" s="75"/>
      <c r="I101" s="118"/>
      <c r="J101" s="121"/>
      <c r="K101" s="192"/>
      <c r="L101" s="79"/>
      <c r="M101" s="916"/>
      <c r="N101" s="916"/>
      <c r="O101" s="78"/>
      <c r="P101" s="78"/>
      <c r="Q101" s="79"/>
      <c r="R101" s="80"/>
      <c r="S101" s="48" t="s">
        <v>92</v>
      </c>
      <c r="T101" s="49" t="s">
        <v>3332</v>
      </c>
      <c r="U101" s="25">
        <f>1950-995</f>
        <v>955</v>
      </c>
      <c r="V101" s="25"/>
      <c r="W101" s="25"/>
      <c r="X101" s="25">
        <f>1950-1161</f>
        <v>789</v>
      </c>
      <c r="Y101" s="25"/>
      <c r="Z101" s="25"/>
      <c r="AA101" s="25" t="s">
        <v>16</v>
      </c>
      <c r="AB101" s="25" t="s">
        <v>10</v>
      </c>
      <c r="AC101" s="25">
        <v>2</v>
      </c>
      <c r="AD101" s="52" t="s">
        <v>4186</v>
      </c>
      <c r="AE101" s="52" t="s">
        <v>7886</v>
      </c>
      <c r="AF101" s="52" t="s">
        <v>37</v>
      </c>
      <c r="AG101" s="745">
        <v>44140</v>
      </c>
      <c r="AH101" s="52"/>
      <c r="AI101" s="25"/>
      <c r="AJ101" s="653"/>
    </row>
    <row r="102" spans="1:36" ht="39" x14ac:dyDescent="0.25">
      <c r="A102" s="488"/>
      <c r="B102" s="131"/>
      <c r="C102" s="75"/>
      <c r="D102" s="568"/>
      <c r="E102" s="568"/>
      <c r="F102" s="118"/>
      <c r="G102" s="118"/>
      <c r="H102" s="75"/>
      <c r="I102" s="118"/>
      <c r="J102" s="121"/>
      <c r="K102" s="187">
        <v>508</v>
      </c>
      <c r="L102" s="73" t="s">
        <v>3335</v>
      </c>
      <c r="M102" s="914">
        <v>1446771.1502</v>
      </c>
      <c r="N102" s="914">
        <v>5248389.4848999996</v>
      </c>
      <c r="O102" s="72" t="s">
        <v>41</v>
      </c>
      <c r="P102" s="72">
        <v>3</v>
      </c>
      <c r="Q102" s="73" t="s">
        <v>2156</v>
      </c>
      <c r="R102" s="74" t="s">
        <v>2156</v>
      </c>
      <c r="S102" s="38" t="s">
        <v>47</v>
      </c>
      <c r="T102" s="39" t="s">
        <v>3338</v>
      </c>
      <c r="U102" s="31">
        <f>1950-1808</f>
        <v>142</v>
      </c>
      <c r="V102" s="31"/>
      <c r="W102" s="31"/>
      <c r="X102" s="31">
        <f>1950-1848</f>
        <v>102</v>
      </c>
      <c r="Y102" s="31"/>
      <c r="Z102" s="31"/>
      <c r="AA102" s="31" t="s">
        <v>10</v>
      </c>
      <c r="AB102" s="31" t="s">
        <v>10</v>
      </c>
      <c r="AC102" s="31">
        <v>1</v>
      </c>
      <c r="AD102" s="40" t="s">
        <v>3348</v>
      </c>
      <c r="AE102" s="40" t="s">
        <v>4235</v>
      </c>
      <c r="AF102" s="40" t="s">
        <v>37</v>
      </c>
      <c r="AG102" s="744">
        <v>44144</v>
      </c>
      <c r="AH102" s="40"/>
      <c r="AI102" s="31"/>
      <c r="AJ102" s="652"/>
    </row>
    <row r="103" spans="1:36" ht="39.75" thickBot="1" x14ac:dyDescent="0.3">
      <c r="A103" s="488"/>
      <c r="B103" s="131"/>
      <c r="C103" s="75"/>
      <c r="D103" s="568"/>
      <c r="E103" s="568"/>
      <c r="F103" s="118"/>
      <c r="G103" s="118"/>
      <c r="H103" s="75"/>
      <c r="I103" s="118"/>
      <c r="J103" s="121"/>
      <c r="K103" s="192"/>
      <c r="L103" s="79"/>
      <c r="M103" s="916"/>
      <c r="N103" s="916"/>
      <c r="O103" s="78"/>
      <c r="P103" s="78"/>
      <c r="Q103" s="79"/>
      <c r="R103" s="80"/>
      <c r="S103" s="48" t="s">
        <v>91</v>
      </c>
      <c r="T103" s="49" t="s">
        <v>3339</v>
      </c>
      <c r="U103" s="25">
        <f>1950-1615</f>
        <v>335</v>
      </c>
      <c r="V103" s="25"/>
      <c r="W103" s="25"/>
      <c r="X103" s="25">
        <f>1950-1848</f>
        <v>102</v>
      </c>
      <c r="Y103" s="25"/>
      <c r="Z103" s="25"/>
      <c r="AA103" s="25" t="s">
        <v>10</v>
      </c>
      <c r="AB103" s="25" t="s">
        <v>10</v>
      </c>
      <c r="AC103" s="25">
        <v>1</v>
      </c>
      <c r="AD103" s="52" t="s">
        <v>3545</v>
      </c>
      <c r="AE103" s="52" t="s">
        <v>4235</v>
      </c>
      <c r="AF103" s="52" t="s">
        <v>37</v>
      </c>
      <c r="AG103" s="745">
        <v>44144</v>
      </c>
      <c r="AH103" s="52"/>
      <c r="AI103" s="25"/>
      <c r="AJ103" s="653"/>
    </row>
    <row r="104" spans="1:36" ht="39" x14ac:dyDescent="0.25">
      <c r="A104" s="488"/>
      <c r="B104" s="131"/>
      <c r="C104" s="75"/>
      <c r="D104" s="568"/>
      <c r="E104" s="568"/>
      <c r="F104" s="118"/>
      <c r="G104" s="118"/>
      <c r="H104" s="75"/>
      <c r="I104" s="118"/>
      <c r="J104" s="121"/>
      <c r="K104" s="187">
        <v>509</v>
      </c>
      <c r="L104" s="73" t="s">
        <v>3336</v>
      </c>
      <c r="M104" s="914">
        <v>1446759.9040999999</v>
      </c>
      <c r="N104" s="914">
        <v>5248356.3602999998</v>
      </c>
      <c r="O104" s="72" t="s">
        <v>41</v>
      </c>
      <c r="P104" s="72" t="s">
        <v>3347</v>
      </c>
      <c r="Q104" s="73" t="s">
        <v>2156</v>
      </c>
      <c r="R104" s="74" t="s">
        <v>2156</v>
      </c>
      <c r="S104" s="38" t="s">
        <v>47</v>
      </c>
      <c r="T104" s="39" t="s">
        <v>3340</v>
      </c>
      <c r="U104" s="31">
        <f>1950-1804</f>
        <v>146</v>
      </c>
      <c r="V104" s="31"/>
      <c r="W104" s="31"/>
      <c r="X104" s="31">
        <f>1950-1848</f>
        <v>102</v>
      </c>
      <c r="Y104" s="31"/>
      <c r="Z104" s="31"/>
      <c r="AA104" s="31" t="s">
        <v>10</v>
      </c>
      <c r="AB104" s="31" t="s">
        <v>10</v>
      </c>
      <c r="AC104" s="31">
        <v>1</v>
      </c>
      <c r="AD104" s="40" t="s">
        <v>3348</v>
      </c>
      <c r="AE104" s="40" t="s">
        <v>4235</v>
      </c>
      <c r="AF104" s="40" t="s">
        <v>37</v>
      </c>
      <c r="AG104" s="744">
        <v>44144</v>
      </c>
      <c r="AH104" s="40"/>
      <c r="AI104" s="31"/>
      <c r="AJ104" s="652"/>
    </row>
    <row r="105" spans="1:36" ht="39" x14ac:dyDescent="0.25">
      <c r="A105" s="488"/>
      <c r="B105" s="131"/>
      <c r="C105" s="75"/>
      <c r="D105" s="568"/>
      <c r="E105" s="568"/>
      <c r="F105" s="118"/>
      <c r="G105" s="118"/>
      <c r="H105" s="75"/>
      <c r="I105" s="118"/>
      <c r="J105" s="121"/>
      <c r="K105" s="188"/>
      <c r="L105" s="76"/>
      <c r="M105" s="915"/>
      <c r="N105" s="915"/>
      <c r="O105" s="75"/>
      <c r="P105" s="75"/>
      <c r="Q105" s="76"/>
      <c r="R105" s="77"/>
      <c r="S105" s="42" t="s">
        <v>91</v>
      </c>
      <c r="T105" s="43" t="s">
        <v>3341</v>
      </c>
      <c r="U105" s="24">
        <f>1950-1700</f>
        <v>250</v>
      </c>
      <c r="V105" s="24"/>
      <c r="W105" s="24"/>
      <c r="X105" s="24">
        <f>1950-1790</f>
        <v>160</v>
      </c>
      <c r="Y105" s="24"/>
      <c r="Z105" s="24"/>
      <c r="AA105" s="24" t="s">
        <v>10</v>
      </c>
      <c r="AB105" s="24" t="s">
        <v>10</v>
      </c>
      <c r="AC105" s="24">
        <v>1</v>
      </c>
      <c r="AD105" s="46" t="s">
        <v>3548</v>
      </c>
      <c r="AE105" s="46" t="s">
        <v>4235</v>
      </c>
      <c r="AF105" s="46" t="s">
        <v>37</v>
      </c>
      <c r="AG105" s="746">
        <v>44144</v>
      </c>
      <c r="AH105" s="46"/>
      <c r="AI105" s="24"/>
      <c r="AJ105" s="1107"/>
    </row>
    <row r="106" spans="1:36" ht="27" thickBot="1" x14ac:dyDescent="0.3">
      <c r="A106" s="488"/>
      <c r="B106" s="131"/>
      <c r="C106" s="75"/>
      <c r="D106" s="568"/>
      <c r="E106" s="568"/>
      <c r="F106" s="118"/>
      <c r="G106" s="118"/>
      <c r="H106" s="75"/>
      <c r="I106" s="118"/>
      <c r="J106" s="121"/>
      <c r="K106" s="192"/>
      <c r="L106" s="79"/>
      <c r="M106" s="916"/>
      <c r="N106" s="916"/>
      <c r="O106" s="78"/>
      <c r="P106" s="78"/>
      <c r="Q106" s="79"/>
      <c r="R106" s="80"/>
      <c r="S106" s="48" t="s">
        <v>92</v>
      </c>
      <c r="T106" s="49" t="s">
        <v>3342</v>
      </c>
      <c r="U106" s="25">
        <f>1950-1258</f>
        <v>692</v>
      </c>
      <c r="V106" s="25"/>
      <c r="W106" s="25"/>
      <c r="X106" s="25">
        <f>1950-1434</f>
        <v>516</v>
      </c>
      <c r="Y106" s="25"/>
      <c r="Z106" s="25"/>
      <c r="AA106" s="25" t="s">
        <v>10</v>
      </c>
      <c r="AB106" s="25" t="s">
        <v>10</v>
      </c>
      <c r="AC106" s="25">
        <v>1</v>
      </c>
      <c r="AD106" s="52" t="s">
        <v>3547</v>
      </c>
      <c r="AE106" s="52" t="s">
        <v>4235</v>
      </c>
      <c r="AF106" s="52" t="s">
        <v>37</v>
      </c>
      <c r="AG106" s="745">
        <v>44144</v>
      </c>
      <c r="AH106" s="52"/>
      <c r="AI106" s="25"/>
      <c r="AJ106" s="653"/>
    </row>
    <row r="107" spans="1:36" ht="39" x14ac:dyDescent="0.25">
      <c r="A107" s="488"/>
      <c r="B107" s="131"/>
      <c r="C107" s="75"/>
      <c r="D107" s="568"/>
      <c r="E107" s="568"/>
      <c r="F107" s="118"/>
      <c r="G107" s="118"/>
      <c r="H107" s="75"/>
      <c r="I107" s="118"/>
      <c r="J107" s="121"/>
      <c r="K107" s="188">
        <v>510</v>
      </c>
      <c r="L107" s="76" t="s">
        <v>3337</v>
      </c>
      <c r="M107" s="915">
        <v>1446714.9879000001</v>
      </c>
      <c r="N107" s="915">
        <v>5248359.2999</v>
      </c>
      <c r="O107" s="75" t="s">
        <v>3349</v>
      </c>
      <c r="P107" s="75" t="s">
        <v>3347</v>
      </c>
      <c r="Q107" s="76" t="s">
        <v>3350</v>
      </c>
      <c r="R107" s="77" t="s">
        <v>10</v>
      </c>
      <c r="S107" s="42" t="s">
        <v>47</v>
      </c>
      <c r="T107" s="43" t="s">
        <v>3343</v>
      </c>
      <c r="U107" s="24">
        <f>1950-1813</f>
        <v>137</v>
      </c>
      <c r="V107" s="24"/>
      <c r="W107" s="24"/>
      <c r="X107" s="24">
        <f>1950-1848</f>
        <v>102</v>
      </c>
      <c r="Y107" s="24"/>
      <c r="Z107" s="24"/>
      <c r="AA107" s="24" t="s">
        <v>10</v>
      </c>
      <c r="AB107" s="24" t="s">
        <v>10</v>
      </c>
      <c r="AC107" s="24">
        <v>1</v>
      </c>
      <c r="AD107" s="46" t="s">
        <v>3348</v>
      </c>
      <c r="AE107" s="46" t="s">
        <v>4235</v>
      </c>
      <c r="AF107" s="46" t="s">
        <v>37</v>
      </c>
      <c r="AG107" s="746">
        <v>44144</v>
      </c>
      <c r="AH107" s="46"/>
      <c r="AI107" s="24"/>
      <c r="AJ107" s="1107"/>
    </row>
    <row r="108" spans="1:36" ht="39" x14ac:dyDescent="0.25">
      <c r="A108" s="488"/>
      <c r="B108" s="131"/>
      <c r="C108" s="75"/>
      <c r="D108" s="568"/>
      <c r="E108" s="568"/>
      <c r="F108" s="118"/>
      <c r="G108" s="118"/>
      <c r="H108" s="75"/>
      <c r="I108" s="118"/>
      <c r="J108" s="121"/>
      <c r="K108" s="188"/>
      <c r="L108" s="76"/>
      <c r="M108" s="915"/>
      <c r="N108" s="915"/>
      <c r="O108" s="75"/>
      <c r="P108" s="75"/>
      <c r="Q108" s="76"/>
      <c r="R108" s="77"/>
      <c r="S108" s="42" t="s">
        <v>91</v>
      </c>
      <c r="T108" s="43" t="s">
        <v>3344</v>
      </c>
      <c r="U108" s="24">
        <f>1950-1673</f>
        <v>277</v>
      </c>
      <c r="V108" s="24"/>
      <c r="W108" s="24"/>
      <c r="X108" s="24">
        <f>1950-1792</f>
        <v>158</v>
      </c>
      <c r="Y108" s="24"/>
      <c r="Z108" s="24"/>
      <c r="AA108" s="24" t="s">
        <v>10</v>
      </c>
      <c r="AB108" s="24" t="s">
        <v>10</v>
      </c>
      <c r="AC108" s="24">
        <v>1</v>
      </c>
      <c r="AD108" s="46" t="s">
        <v>3546</v>
      </c>
      <c r="AE108" s="46" t="s">
        <v>4235</v>
      </c>
      <c r="AF108" s="46" t="s">
        <v>37</v>
      </c>
      <c r="AG108" s="746">
        <v>44144</v>
      </c>
      <c r="AH108" s="46"/>
      <c r="AI108" s="24"/>
      <c r="AJ108" s="1107"/>
    </row>
    <row r="109" spans="1:36" ht="26.25" x14ac:dyDescent="0.25">
      <c r="A109" s="488"/>
      <c r="B109" s="131"/>
      <c r="C109" s="75"/>
      <c r="D109" s="568"/>
      <c r="E109" s="568"/>
      <c r="F109" s="118"/>
      <c r="G109" s="118"/>
      <c r="H109" s="75"/>
      <c r="I109" s="118"/>
      <c r="J109" s="121"/>
      <c r="K109" s="188"/>
      <c r="L109" s="76"/>
      <c r="M109" s="915"/>
      <c r="N109" s="915"/>
      <c r="O109" s="75"/>
      <c r="P109" s="75"/>
      <c r="Q109" s="76"/>
      <c r="R109" s="77"/>
      <c r="S109" s="42" t="s">
        <v>92</v>
      </c>
      <c r="T109" s="43" t="s">
        <v>3345</v>
      </c>
      <c r="U109" s="24">
        <f>1950-1250</f>
        <v>700</v>
      </c>
      <c r="V109" s="24"/>
      <c r="W109" s="24"/>
      <c r="X109" s="24">
        <f>1950-1580</f>
        <v>370</v>
      </c>
      <c r="Y109" s="24"/>
      <c r="Z109" s="24"/>
      <c r="AA109" s="24" t="s">
        <v>10</v>
      </c>
      <c r="AB109" s="24" t="s">
        <v>10</v>
      </c>
      <c r="AC109" s="24">
        <v>1</v>
      </c>
      <c r="AD109" s="46" t="s">
        <v>3547</v>
      </c>
      <c r="AE109" s="46" t="s">
        <v>4235</v>
      </c>
      <c r="AF109" s="46" t="s">
        <v>37</v>
      </c>
      <c r="AG109" s="746">
        <v>44144</v>
      </c>
      <c r="AH109" s="46"/>
      <c r="AI109" s="24"/>
      <c r="AJ109" s="1107"/>
    </row>
    <row r="110" spans="1:36" ht="27" thickBot="1" x14ac:dyDescent="0.3">
      <c r="A110" s="488"/>
      <c r="B110" s="131"/>
      <c r="C110" s="75"/>
      <c r="D110" s="568"/>
      <c r="E110" s="568"/>
      <c r="F110" s="118"/>
      <c r="G110" s="118"/>
      <c r="H110" s="75"/>
      <c r="I110" s="118"/>
      <c r="J110" s="121"/>
      <c r="K110" s="192"/>
      <c r="L110" s="79"/>
      <c r="M110" s="916"/>
      <c r="N110" s="916"/>
      <c r="O110" s="78"/>
      <c r="P110" s="78"/>
      <c r="Q110" s="79"/>
      <c r="R110" s="80"/>
      <c r="S110" s="42" t="s">
        <v>99</v>
      </c>
      <c r="T110" s="43" t="s">
        <v>3346</v>
      </c>
      <c r="U110" s="24">
        <f>1950-1084</f>
        <v>866</v>
      </c>
      <c r="V110" s="24"/>
      <c r="W110" s="24"/>
      <c r="X110" s="24">
        <f>1950-1276</f>
        <v>674</v>
      </c>
      <c r="Y110" s="24"/>
      <c r="Z110" s="24"/>
      <c r="AA110" s="24" t="s">
        <v>10</v>
      </c>
      <c r="AB110" s="24" t="s">
        <v>10</v>
      </c>
      <c r="AC110" s="24">
        <v>1</v>
      </c>
      <c r="AD110" s="46" t="s">
        <v>3547</v>
      </c>
      <c r="AE110" s="46" t="s">
        <v>4235</v>
      </c>
      <c r="AF110" s="46" t="s">
        <v>37</v>
      </c>
      <c r="AG110" s="746">
        <v>44144</v>
      </c>
      <c r="AH110" s="46"/>
      <c r="AI110" s="24"/>
      <c r="AJ110" s="1107"/>
    </row>
    <row r="111" spans="1:36" ht="51.75" x14ac:dyDescent="0.25">
      <c r="A111" s="488"/>
      <c r="B111" s="131"/>
      <c r="C111" s="75"/>
      <c r="D111" s="568"/>
      <c r="E111" s="568"/>
      <c r="F111" s="118"/>
      <c r="G111" s="118"/>
      <c r="H111" s="75"/>
      <c r="I111" s="118"/>
      <c r="J111" s="121"/>
      <c r="K111" s="187" t="s">
        <v>2156</v>
      </c>
      <c r="L111" s="73" t="s">
        <v>7788</v>
      </c>
      <c r="M111" s="914" t="s">
        <v>2156</v>
      </c>
      <c r="N111" s="914" t="s">
        <v>2156</v>
      </c>
      <c r="O111" s="72" t="s">
        <v>7811</v>
      </c>
      <c r="P111" s="72">
        <v>15</v>
      </c>
      <c r="Q111" s="73" t="s">
        <v>7812</v>
      </c>
      <c r="R111" s="74" t="s">
        <v>16</v>
      </c>
      <c r="S111" s="38" t="s">
        <v>47</v>
      </c>
      <c r="T111" s="39" t="s">
        <v>7789</v>
      </c>
      <c r="U111" s="31">
        <f>1950-1696</f>
        <v>254</v>
      </c>
      <c r="V111" s="31"/>
      <c r="W111" s="31"/>
      <c r="X111" s="31">
        <f>1950-1696</f>
        <v>254</v>
      </c>
      <c r="Y111" s="31"/>
      <c r="Z111" s="31"/>
      <c r="AA111" s="31" t="s">
        <v>10</v>
      </c>
      <c r="AB111" s="31" t="s">
        <v>16</v>
      </c>
      <c r="AC111" s="31">
        <v>2</v>
      </c>
      <c r="AD111" s="40" t="s">
        <v>7804</v>
      </c>
      <c r="AE111" s="40" t="s">
        <v>7750</v>
      </c>
      <c r="AF111" s="40" t="s">
        <v>37</v>
      </c>
      <c r="AG111" s="744">
        <v>44358</v>
      </c>
      <c r="AH111" s="40"/>
      <c r="AI111" s="31"/>
      <c r="AJ111" s="652"/>
    </row>
    <row r="112" spans="1:36" ht="51.75" x14ac:dyDescent="0.25">
      <c r="A112" s="488"/>
      <c r="B112" s="131"/>
      <c r="C112" s="75"/>
      <c r="D112" s="568"/>
      <c r="E112" s="568"/>
      <c r="F112" s="118"/>
      <c r="G112" s="118"/>
      <c r="H112" s="75"/>
      <c r="I112" s="118"/>
      <c r="J112" s="121"/>
      <c r="K112" s="188"/>
      <c r="L112" s="76"/>
      <c r="M112" s="915"/>
      <c r="N112" s="915"/>
      <c r="O112" s="75"/>
      <c r="P112" s="75"/>
      <c r="Q112" s="76"/>
      <c r="R112" s="77"/>
      <c r="S112" s="42" t="s">
        <v>91</v>
      </c>
      <c r="T112" s="43" t="s">
        <v>7790</v>
      </c>
      <c r="U112" s="24">
        <f>1950-1386</f>
        <v>564</v>
      </c>
      <c r="V112" s="24"/>
      <c r="W112" s="24"/>
      <c r="X112" s="24">
        <f>1950-1386</f>
        <v>564</v>
      </c>
      <c r="Y112" s="24"/>
      <c r="Z112" s="24"/>
      <c r="AA112" s="24" t="s">
        <v>10</v>
      </c>
      <c r="AB112" s="24" t="s">
        <v>16</v>
      </c>
      <c r="AC112" s="24">
        <v>2</v>
      </c>
      <c r="AD112" s="46" t="s">
        <v>7804</v>
      </c>
      <c r="AE112" s="46" t="s">
        <v>7750</v>
      </c>
      <c r="AF112" s="46" t="s">
        <v>37</v>
      </c>
      <c r="AG112" s="746">
        <v>44358</v>
      </c>
      <c r="AH112" s="46"/>
      <c r="AI112" s="24"/>
      <c r="AJ112" s="1107"/>
    </row>
    <row r="113" spans="1:36" ht="51.75" x14ac:dyDescent="0.25">
      <c r="A113" s="488"/>
      <c r="B113" s="131"/>
      <c r="C113" s="75"/>
      <c r="D113" s="568"/>
      <c r="E113" s="568"/>
      <c r="F113" s="118"/>
      <c r="G113" s="118"/>
      <c r="H113" s="75"/>
      <c r="I113" s="118"/>
      <c r="J113" s="121"/>
      <c r="K113" s="188"/>
      <c r="L113" s="76"/>
      <c r="M113" s="915"/>
      <c r="N113" s="915"/>
      <c r="O113" s="75"/>
      <c r="P113" s="75"/>
      <c r="Q113" s="76"/>
      <c r="R113" s="77"/>
      <c r="S113" s="42" t="s">
        <v>92</v>
      </c>
      <c r="T113" s="43" t="s">
        <v>7791</v>
      </c>
      <c r="U113" s="24">
        <f>1950-1144</f>
        <v>806</v>
      </c>
      <c r="V113" s="24"/>
      <c r="W113" s="24"/>
      <c r="X113" s="24">
        <f>1950-1144</f>
        <v>806</v>
      </c>
      <c r="Y113" s="24"/>
      <c r="Z113" s="24"/>
      <c r="AA113" s="24" t="s">
        <v>10</v>
      </c>
      <c r="AB113" s="24" t="s">
        <v>16</v>
      </c>
      <c r="AC113" s="24">
        <v>2</v>
      </c>
      <c r="AD113" s="46" t="s">
        <v>7804</v>
      </c>
      <c r="AE113" s="46" t="s">
        <v>7750</v>
      </c>
      <c r="AF113" s="46" t="s">
        <v>37</v>
      </c>
      <c r="AG113" s="746">
        <v>44358</v>
      </c>
      <c r="AH113" s="46"/>
      <c r="AI113" s="24"/>
      <c r="AJ113" s="1107"/>
    </row>
    <row r="114" spans="1:36" ht="51.75" x14ac:dyDescent="0.25">
      <c r="A114" s="488"/>
      <c r="B114" s="131"/>
      <c r="C114" s="75"/>
      <c r="D114" s="568"/>
      <c r="E114" s="568"/>
      <c r="F114" s="118"/>
      <c r="G114" s="118"/>
      <c r="H114" s="75"/>
      <c r="I114" s="118"/>
      <c r="J114" s="121"/>
      <c r="K114" s="188"/>
      <c r="L114" s="76"/>
      <c r="M114" s="915"/>
      <c r="N114" s="915"/>
      <c r="O114" s="75"/>
      <c r="P114" s="75"/>
      <c r="Q114" s="76"/>
      <c r="R114" s="77"/>
      <c r="S114" s="42" t="s">
        <v>99</v>
      </c>
      <c r="T114" s="43" t="s">
        <v>7792</v>
      </c>
      <c r="U114" s="24">
        <f>1950-936</f>
        <v>1014</v>
      </c>
      <c r="V114" s="24"/>
      <c r="W114" s="24"/>
      <c r="X114" s="24">
        <f>1950-936</f>
        <v>1014</v>
      </c>
      <c r="Y114" s="24"/>
      <c r="Z114" s="24"/>
      <c r="AA114" s="24" t="s">
        <v>10</v>
      </c>
      <c r="AB114" s="24" t="s">
        <v>16</v>
      </c>
      <c r="AC114" s="24">
        <v>2</v>
      </c>
      <c r="AD114" s="46" t="s">
        <v>7804</v>
      </c>
      <c r="AE114" s="46" t="s">
        <v>7750</v>
      </c>
      <c r="AF114" s="46" t="s">
        <v>37</v>
      </c>
      <c r="AG114" s="746">
        <v>44358</v>
      </c>
      <c r="AH114" s="46"/>
      <c r="AI114" s="24"/>
      <c r="AJ114" s="1107"/>
    </row>
    <row r="115" spans="1:36" ht="51.75" x14ac:dyDescent="0.25">
      <c r="A115" s="488"/>
      <c r="B115" s="131"/>
      <c r="C115" s="75"/>
      <c r="D115" s="568"/>
      <c r="E115" s="568"/>
      <c r="F115" s="118"/>
      <c r="G115" s="118"/>
      <c r="H115" s="75"/>
      <c r="I115" s="118"/>
      <c r="J115" s="121"/>
      <c r="K115" s="188"/>
      <c r="L115" s="76"/>
      <c r="M115" s="915"/>
      <c r="N115" s="915"/>
      <c r="O115" s="75"/>
      <c r="P115" s="75"/>
      <c r="Q115" s="76"/>
      <c r="R115" s="77"/>
      <c r="S115" s="42" t="s">
        <v>100</v>
      </c>
      <c r="T115" s="43" t="s">
        <v>7793</v>
      </c>
      <c r="U115" s="24">
        <f>1950-601</f>
        <v>1349</v>
      </c>
      <c r="V115" s="24"/>
      <c r="W115" s="24"/>
      <c r="X115" s="24">
        <f>1950-601</f>
        <v>1349</v>
      </c>
      <c r="Y115" s="24"/>
      <c r="Z115" s="24"/>
      <c r="AA115" s="24" t="s">
        <v>10</v>
      </c>
      <c r="AB115" s="24" t="s">
        <v>16</v>
      </c>
      <c r="AC115" s="24">
        <v>2</v>
      </c>
      <c r="AD115" s="46" t="s">
        <v>7804</v>
      </c>
      <c r="AE115" s="46" t="s">
        <v>7750</v>
      </c>
      <c r="AF115" s="46" t="s">
        <v>37</v>
      </c>
      <c r="AG115" s="746">
        <v>44358</v>
      </c>
      <c r="AH115" s="46"/>
      <c r="AI115" s="24"/>
      <c r="AJ115" s="1107"/>
    </row>
    <row r="116" spans="1:36" ht="51.75" x14ac:dyDescent="0.25">
      <c r="A116" s="488"/>
      <c r="B116" s="131"/>
      <c r="C116" s="75"/>
      <c r="D116" s="568"/>
      <c r="E116" s="568"/>
      <c r="F116" s="118"/>
      <c r="G116" s="118"/>
      <c r="H116" s="75"/>
      <c r="I116" s="118"/>
      <c r="J116" s="121"/>
      <c r="K116" s="188"/>
      <c r="L116" s="76"/>
      <c r="M116" s="915"/>
      <c r="N116" s="915"/>
      <c r="O116" s="75"/>
      <c r="P116" s="75"/>
      <c r="Q116" s="76"/>
      <c r="R116" s="77"/>
      <c r="S116" s="42" t="s">
        <v>101</v>
      </c>
      <c r="T116" s="43" t="s">
        <v>7794</v>
      </c>
      <c r="U116" s="24">
        <f>1950-373</f>
        <v>1577</v>
      </c>
      <c r="V116" s="24"/>
      <c r="W116" s="24"/>
      <c r="X116" s="24">
        <f>1950-373</f>
        <v>1577</v>
      </c>
      <c r="Y116" s="24"/>
      <c r="Z116" s="24"/>
      <c r="AA116" s="24" t="s">
        <v>10</v>
      </c>
      <c r="AB116" s="24" t="s">
        <v>16</v>
      </c>
      <c r="AC116" s="24">
        <v>2</v>
      </c>
      <c r="AD116" s="46" t="s">
        <v>7804</v>
      </c>
      <c r="AE116" s="46" t="s">
        <v>7750</v>
      </c>
      <c r="AF116" s="46" t="s">
        <v>37</v>
      </c>
      <c r="AG116" s="746">
        <v>44358</v>
      </c>
      <c r="AH116" s="46"/>
      <c r="AI116" s="24"/>
      <c r="AJ116" s="1107"/>
    </row>
    <row r="117" spans="1:36" ht="51.75" x14ac:dyDescent="0.25">
      <c r="A117" s="488"/>
      <c r="B117" s="131"/>
      <c r="C117" s="75"/>
      <c r="D117" s="568"/>
      <c r="E117" s="568"/>
      <c r="F117" s="118"/>
      <c r="G117" s="118"/>
      <c r="H117" s="75"/>
      <c r="I117" s="118"/>
      <c r="J117" s="121"/>
      <c r="K117" s="188"/>
      <c r="L117" s="76"/>
      <c r="M117" s="915"/>
      <c r="N117" s="915"/>
      <c r="O117" s="75"/>
      <c r="P117" s="75"/>
      <c r="Q117" s="76"/>
      <c r="R117" s="77"/>
      <c r="S117" s="42" t="s">
        <v>102</v>
      </c>
      <c r="T117" s="43" t="s">
        <v>7795</v>
      </c>
      <c r="U117" s="24">
        <f>1950-91</f>
        <v>1859</v>
      </c>
      <c r="V117" s="24"/>
      <c r="W117" s="24"/>
      <c r="X117" s="24">
        <f>1950-91</f>
        <v>1859</v>
      </c>
      <c r="Y117" s="24"/>
      <c r="Z117" s="24"/>
      <c r="AA117" s="24" t="s">
        <v>10</v>
      </c>
      <c r="AB117" s="24" t="s">
        <v>16</v>
      </c>
      <c r="AC117" s="24">
        <v>2</v>
      </c>
      <c r="AD117" s="46" t="s">
        <v>7805</v>
      </c>
      <c r="AE117" s="46" t="s">
        <v>7750</v>
      </c>
      <c r="AF117" s="46" t="s">
        <v>37</v>
      </c>
      <c r="AG117" s="746">
        <v>44358</v>
      </c>
      <c r="AH117" s="46"/>
      <c r="AI117" s="24"/>
      <c r="AJ117" s="1107"/>
    </row>
    <row r="118" spans="1:36" ht="51.75" x14ac:dyDescent="0.25">
      <c r="A118" s="488"/>
      <c r="B118" s="131"/>
      <c r="C118" s="75"/>
      <c r="D118" s="568"/>
      <c r="E118" s="568"/>
      <c r="F118" s="118"/>
      <c r="G118" s="118"/>
      <c r="H118" s="75"/>
      <c r="I118" s="118"/>
      <c r="J118" s="121"/>
      <c r="K118" s="188"/>
      <c r="L118" s="76"/>
      <c r="M118" s="915"/>
      <c r="N118" s="915"/>
      <c r="O118" s="75"/>
      <c r="P118" s="75"/>
      <c r="Q118" s="76"/>
      <c r="R118" s="77"/>
      <c r="S118" s="42" t="s">
        <v>103</v>
      </c>
      <c r="T118" s="43" t="s">
        <v>7796</v>
      </c>
      <c r="U118" s="24">
        <f>1950+144</f>
        <v>2094</v>
      </c>
      <c r="V118" s="24"/>
      <c r="W118" s="24"/>
      <c r="X118" s="24">
        <f>1950+144</f>
        <v>2094</v>
      </c>
      <c r="Y118" s="24"/>
      <c r="Z118" s="24"/>
      <c r="AA118" s="24" t="s">
        <v>10</v>
      </c>
      <c r="AB118" s="24" t="s">
        <v>16</v>
      </c>
      <c r="AC118" s="24">
        <v>2</v>
      </c>
      <c r="AD118" s="46" t="s">
        <v>7805</v>
      </c>
      <c r="AE118" s="46" t="s">
        <v>7750</v>
      </c>
      <c r="AF118" s="46" t="s">
        <v>37</v>
      </c>
      <c r="AG118" s="746">
        <v>44358</v>
      </c>
      <c r="AH118" s="46"/>
      <c r="AI118" s="24"/>
      <c r="AJ118" s="1107"/>
    </row>
    <row r="119" spans="1:36" ht="51.75" x14ac:dyDescent="0.25">
      <c r="A119" s="488"/>
      <c r="B119" s="131"/>
      <c r="C119" s="75"/>
      <c r="D119" s="568"/>
      <c r="E119" s="568"/>
      <c r="F119" s="118"/>
      <c r="G119" s="118"/>
      <c r="H119" s="75"/>
      <c r="I119" s="118"/>
      <c r="J119" s="121"/>
      <c r="K119" s="188"/>
      <c r="L119" s="76"/>
      <c r="M119" s="915"/>
      <c r="N119" s="915"/>
      <c r="O119" s="75"/>
      <c r="P119" s="75"/>
      <c r="Q119" s="76"/>
      <c r="R119" s="77"/>
      <c r="S119" s="42" t="s">
        <v>104</v>
      </c>
      <c r="T119" s="43" t="s">
        <v>7797</v>
      </c>
      <c r="U119" s="24">
        <f>1950+382</f>
        <v>2332</v>
      </c>
      <c r="V119" s="24"/>
      <c r="W119" s="24"/>
      <c r="X119" s="24">
        <f>1950+382</f>
        <v>2332</v>
      </c>
      <c r="Y119" s="24"/>
      <c r="Z119" s="24"/>
      <c r="AA119" s="24" t="s">
        <v>10</v>
      </c>
      <c r="AB119" s="24" t="s">
        <v>16</v>
      </c>
      <c r="AC119" s="24">
        <v>2</v>
      </c>
      <c r="AD119" s="46" t="s">
        <v>7806</v>
      </c>
      <c r="AE119" s="46" t="s">
        <v>7750</v>
      </c>
      <c r="AF119" s="46" t="s">
        <v>37</v>
      </c>
      <c r="AG119" s="746">
        <v>44358</v>
      </c>
      <c r="AH119" s="46"/>
      <c r="AI119" s="24"/>
      <c r="AJ119" s="1107"/>
    </row>
    <row r="120" spans="1:36" ht="51.75" x14ac:dyDescent="0.25">
      <c r="A120" s="488"/>
      <c r="B120" s="131"/>
      <c r="C120" s="75"/>
      <c r="D120" s="568"/>
      <c r="E120" s="568"/>
      <c r="F120" s="118"/>
      <c r="G120" s="118"/>
      <c r="H120" s="75"/>
      <c r="I120" s="118"/>
      <c r="J120" s="121"/>
      <c r="K120" s="188"/>
      <c r="L120" s="76"/>
      <c r="M120" s="915"/>
      <c r="N120" s="915"/>
      <c r="O120" s="75"/>
      <c r="P120" s="75"/>
      <c r="Q120" s="76"/>
      <c r="R120" s="77"/>
      <c r="S120" s="42" t="s">
        <v>105</v>
      </c>
      <c r="T120" s="43" t="s">
        <v>7798</v>
      </c>
      <c r="U120" s="24">
        <f>1950+569</f>
        <v>2519</v>
      </c>
      <c r="V120" s="24"/>
      <c r="W120" s="24"/>
      <c r="X120" s="24">
        <f>1950+569</f>
        <v>2519</v>
      </c>
      <c r="Y120" s="24"/>
      <c r="Z120" s="24"/>
      <c r="AA120" s="24" t="s">
        <v>10</v>
      </c>
      <c r="AB120" s="24" t="s">
        <v>16</v>
      </c>
      <c r="AC120" s="24">
        <v>2</v>
      </c>
      <c r="AD120" s="46" t="s">
        <v>7806</v>
      </c>
      <c r="AE120" s="46" t="s">
        <v>7750</v>
      </c>
      <c r="AF120" s="46" t="s">
        <v>37</v>
      </c>
      <c r="AG120" s="746">
        <v>44358</v>
      </c>
      <c r="AH120" s="46"/>
      <c r="AI120" s="24"/>
      <c r="AJ120" s="1107"/>
    </row>
    <row r="121" spans="1:36" ht="51.75" x14ac:dyDescent="0.25">
      <c r="A121" s="488"/>
      <c r="B121" s="131"/>
      <c r="C121" s="75"/>
      <c r="D121" s="568"/>
      <c r="E121" s="568"/>
      <c r="F121" s="118"/>
      <c r="G121" s="118"/>
      <c r="H121" s="75"/>
      <c r="I121" s="118"/>
      <c r="J121" s="121"/>
      <c r="K121" s="188"/>
      <c r="L121" s="76"/>
      <c r="M121" s="915"/>
      <c r="N121" s="915"/>
      <c r="O121" s="75"/>
      <c r="P121" s="75"/>
      <c r="Q121" s="76"/>
      <c r="R121" s="77"/>
      <c r="S121" s="42" t="s">
        <v>106</v>
      </c>
      <c r="T121" s="43" t="s">
        <v>7799</v>
      </c>
      <c r="U121" s="24">
        <f>1950+888</f>
        <v>2838</v>
      </c>
      <c r="V121" s="24"/>
      <c r="W121" s="24"/>
      <c r="X121" s="24">
        <f>1950+888</f>
        <v>2838</v>
      </c>
      <c r="Y121" s="24"/>
      <c r="Z121" s="24"/>
      <c r="AA121" s="24" t="s">
        <v>10</v>
      </c>
      <c r="AB121" s="24" t="s">
        <v>16</v>
      </c>
      <c r="AC121" s="24">
        <v>2</v>
      </c>
      <c r="AD121" s="46" t="s">
        <v>7806</v>
      </c>
      <c r="AE121" s="46" t="s">
        <v>7750</v>
      </c>
      <c r="AF121" s="46" t="s">
        <v>37</v>
      </c>
      <c r="AG121" s="746">
        <v>44358</v>
      </c>
      <c r="AH121" s="46"/>
      <c r="AI121" s="24"/>
      <c r="AJ121" s="1107"/>
    </row>
    <row r="122" spans="1:36" ht="51.75" x14ac:dyDescent="0.25">
      <c r="A122" s="488"/>
      <c r="B122" s="131"/>
      <c r="C122" s="75"/>
      <c r="D122" s="568"/>
      <c r="E122" s="568"/>
      <c r="F122" s="118"/>
      <c r="G122" s="118"/>
      <c r="H122" s="75"/>
      <c r="I122" s="118"/>
      <c r="J122" s="121"/>
      <c r="K122" s="188"/>
      <c r="L122" s="76"/>
      <c r="M122" s="915"/>
      <c r="N122" s="915"/>
      <c r="O122" s="75"/>
      <c r="P122" s="75"/>
      <c r="Q122" s="76"/>
      <c r="R122" s="77"/>
      <c r="S122" s="42" t="s">
        <v>107</v>
      </c>
      <c r="T122" s="43" t="s">
        <v>7800</v>
      </c>
      <c r="U122" s="24">
        <f>1950+1140</f>
        <v>3090</v>
      </c>
      <c r="V122" s="24"/>
      <c r="W122" s="24"/>
      <c r="X122" s="24">
        <f>1950+1140</f>
        <v>3090</v>
      </c>
      <c r="Y122" s="24"/>
      <c r="Z122" s="24"/>
      <c r="AA122" s="24" t="s">
        <v>10</v>
      </c>
      <c r="AB122" s="24" t="s">
        <v>16</v>
      </c>
      <c r="AC122" s="24">
        <v>2</v>
      </c>
      <c r="AD122" s="46" t="s">
        <v>7806</v>
      </c>
      <c r="AE122" s="46" t="s">
        <v>7750</v>
      </c>
      <c r="AF122" s="46" t="s">
        <v>37</v>
      </c>
      <c r="AG122" s="746">
        <v>44358</v>
      </c>
      <c r="AH122" s="46"/>
      <c r="AI122" s="24"/>
      <c r="AJ122" s="1107"/>
    </row>
    <row r="123" spans="1:36" ht="26.25" x14ac:dyDescent="0.25">
      <c r="A123" s="488"/>
      <c r="B123" s="131"/>
      <c r="C123" s="75"/>
      <c r="D123" s="568"/>
      <c r="E123" s="568"/>
      <c r="F123" s="118"/>
      <c r="G123" s="118"/>
      <c r="H123" s="75"/>
      <c r="I123" s="118"/>
      <c r="J123" s="121"/>
      <c r="K123" s="188"/>
      <c r="L123" s="76"/>
      <c r="M123" s="915"/>
      <c r="N123" s="915"/>
      <c r="O123" s="75"/>
      <c r="P123" s="75"/>
      <c r="Q123" s="76"/>
      <c r="R123" s="77"/>
      <c r="S123" s="42" t="s">
        <v>108</v>
      </c>
      <c r="T123" s="43" t="s">
        <v>7801</v>
      </c>
      <c r="U123" s="24">
        <f>1950+1436</f>
        <v>3386</v>
      </c>
      <c r="V123" s="24"/>
      <c r="W123" s="24"/>
      <c r="X123" s="24">
        <f>1950+1436</f>
        <v>3386</v>
      </c>
      <c r="Y123" s="24"/>
      <c r="Z123" s="24"/>
      <c r="AA123" s="24" t="s">
        <v>10</v>
      </c>
      <c r="AB123" s="24" t="s">
        <v>16</v>
      </c>
      <c r="AC123" s="24">
        <v>2</v>
      </c>
      <c r="AD123" s="46" t="s">
        <v>7807</v>
      </c>
      <c r="AE123" s="46" t="s">
        <v>7750</v>
      </c>
      <c r="AF123" s="46" t="s">
        <v>37</v>
      </c>
      <c r="AG123" s="746">
        <v>44358</v>
      </c>
      <c r="AH123" s="46"/>
      <c r="AI123" s="24"/>
      <c r="AJ123" s="1107"/>
    </row>
    <row r="124" spans="1:36" ht="26.25" x14ac:dyDescent="0.25">
      <c r="A124" s="488"/>
      <c r="B124" s="131"/>
      <c r="C124" s="75"/>
      <c r="D124" s="568"/>
      <c r="E124" s="568"/>
      <c r="F124" s="118"/>
      <c r="G124" s="118"/>
      <c r="H124" s="75"/>
      <c r="I124" s="118"/>
      <c r="J124" s="121"/>
      <c r="K124" s="188"/>
      <c r="L124" s="76"/>
      <c r="M124" s="915"/>
      <c r="N124" s="915"/>
      <c r="O124" s="75"/>
      <c r="P124" s="75"/>
      <c r="Q124" s="76"/>
      <c r="R124" s="77"/>
      <c r="S124" s="42" t="s">
        <v>109</v>
      </c>
      <c r="T124" s="43" t="s">
        <v>7802</v>
      </c>
      <c r="U124" s="24">
        <f>1950+1694</f>
        <v>3644</v>
      </c>
      <c r="V124" s="24"/>
      <c r="W124" s="24"/>
      <c r="X124" s="24">
        <f>1950+1694</f>
        <v>3644</v>
      </c>
      <c r="Y124" s="24"/>
      <c r="Z124" s="24"/>
      <c r="AA124" s="24" t="s">
        <v>10</v>
      </c>
      <c r="AB124" s="24" t="s">
        <v>16</v>
      </c>
      <c r="AC124" s="24">
        <v>2</v>
      </c>
      <c r="AD124" s="46" t="s">
        <v>7807</v>
      </c>
      <c r="AE124" s="46" t="s">
        <v>7750</v>
      </c>
      <c r="AF124" s="46" t="s">
        <v>37</v>
      </c>
      <c r="AG124" s="746">
        <v>44358</v>
      </c>
      <c r="AH124" s="46"/>
      <c r="AI124" s="24"/>
      <c r="AJ124" s="1107"/>
    </row>
    <row r="125" spans="1:36" ht="27" thickBot="1" x14ac:dyDescent="0.3">
      <c r="A125" s="488"/>
      <c r="B125" s="131"/>
      <c r="C125" s="75"/>
      <c r="D125" s="568"/>
      <c r="E125" s="568"/>
      <c r="F125" s="118"/>
      <c r="G125" s="118"/>
      <c r="H125" s="75"/>
      <c r="I125" s="118"/>
      <c r="J125" s="121"/>
      <c r="K125" s="192"/>
      <c r="L125" s="79"/>
      <c r="M125" s="916"/>
      <c r="N125" s="916"/>
      <c r="O125" s="78"/>
      <c r="P125" s="78"/>
      <c r="Q125" s="79"/>
      <c r="R125" s="80"/>
      <c r="S125" s="48" t="s">
        <v>110</v>
      </c>
      <c r="T125" s="49" t="s">
        <v>7803</v>
      </c>
      <c r="U125" s="25">
        <f>1950+1884</f>
        <v>3834</v>
      </c>
      <c r="V125" s="25"/>
      <c r="W125" s="25"/>
      <c r="X125" s="25">
        <f>1950+1884</f>
        <v>3834</v>
      </c>
      <c r="Y125" s="25"/>
      <c r="Z125" s="25"/>
      <c r="AA125" s="25" t="s">
        <v>10</v>
      </c>
      <c r="AB125" s="25" t="s">
        <v>16</v>
      </c>
      <c r="AC125" s="25">
        <v>2</v>
      </c>
      <c r="AD125" s="52" t="s">
        <v>7807</v>
      </c>
      <c r="AE125" s="52" t="s">
        <v>7750</v>
      </c>
      <c r="AF125" s="52" t="s">
        <v>37</v>
      </c>
      <c r="AG125" s="745">
        <v>44358</v>
      </c>
      <c r="AH125" s="52"/>
      <c r="AI125" s="25"/>
      <c r="AJ125" s="653"/>
    </row>
    <row r="126" spans="1:36" ht="52.5" thickBot="1" x14ac:dyDescent="0.3">
      <c r="A126" s="341" t="s">
        <v>86</v>
      </c>
      <c r="B126" s="181" t="s">
        <v>6796</v>
      </c>
      <c r="C126" s="125">
        <v>597</v>
      </c>
      <c r="D126" s="181" t="s">
        <v>6844</v>
      </c>
      <c r="E126" s="585"/>
      <c r="F126" s="126" t="s">
        <v>41</v>
      </c>
      <c r="G126" s="513" t="s">
        <v>2156</v>
      </c>
      <c r="H126" s="125" t="s">
        <v>2156</v>
      </c>
      <c r="I126" s="126" t="s">
        <v>2156</v>
      </c>
      <c r="J126" s="247" t="s">
        <v>2156</v>
      </c>
      <c r="K126" s="89">
        <v>487</v>
      </c>
      <c r="L126" s="396" t="s">
        <v>3257</v>
      </c>
      <c r="M126" s="265">
        <v>1527558.66</v>
      </c>
      <c r="N126" s="265">
        <v>5304377.9760999996</v>
      </c>
      <c r="O126" s="84" t="s">
        <v>41</v>
      </c>
      <c r="P126" s="84">
        <v>1</v>
      </c>
      <c r="Q126" s="396" t="s">
        <v>2156</v>
      </c>
      <c r="R126" s="90" t="s">
        <v>2156</v>
      </c>
      <c r="S126" s="428" t="s">
        <v>47</v>
      </c>
      <c r="T126" s="243" t="s">
        <v>3258</v>
      </c>
      <c r="U126" s="86">
        <f>1950-1567</f>
        <v>383</v>
      </c>
      <c r="V126" s="86"/>
      <c r="W126" s="86"/>
      <c r="X126" s="86">
        <f>1950-1843</f>
        <v>107</v>
      </c>
      <c r="Y126" s="86"/>
      <c r="Z126" s="86"/>
      <c r="AA126" s="86" t="s">
        <v>16</v>
      </c>
      <c r="AB126" s="86" t="s">
        <v>16</v>
      </c>
      <c r="AC126" s="86">
        <v>2</v>
      </c>
      <c r="AD126" s="92" t="s">
        <v>4178</v>
      </c>
      <c r="AE126" s="92" t="s">
        <v>3247</v>
      </c>
      <c r="AF126" s="92" t="s">
        <v>37</v>
      </c>
      <c r="AG126" s="743">
        <v>44137</v>
      </c>
      <c r="AH126" s="92"/>
      <c r="AI126" s="86"/>
      <c r="AJ126" s="1108"/>
    </row>
    <row r="127" spans="1:36" s="135" customFormat="1" ht="65.25" thickBot="1" x14ac:dyDescent="0.3">
      <c r="A127" s="339"/>
      <c r="B127" s="116"/>
      <c r="C127" s="95"/>
      <c r="D127" s="567"/>
      <c r="E127" s="567"/>
      <c r="F127" s="108"/>
      <c r="G127" s="506"/>
      <c r="H127" s="95"/>
      <c r="I127" s="108"/>
      <c r="J127" s="122"/>
      <c r="K127" s="89">
        <v>188</v>
      </c>
      <c r="L127" s="396" t="s">
        <v>3262</v>
      </c>
      <c r="M127" s="265">
        <v>1503697.4771</v>
      </c>
      <c r="N127" s="265">
        <v>5287136.1579999998</v>
      </c>
      <c r="O127" s="84" t="s">
        <v>41</v>
      </c>
      <c r="P127" s="84">
        <v>1</v>
      </c>
      <c r="Q127" s="396" t="s">
        <v>2156</v>
      </c>
      <c r="R127" s="90" t="s">
        <v>2156</v>
      </c>
      <c r="S127" s="428" t="s">
        <v>47</v>
      </c>
      <c r="T127" s="243" t="s">
        <v>3263</v>
      </c>
      <c r="U127" s="204">
        <f>1950-802</f>
        <v>1148</v>
      </c>
      <c r="V127" s="204"/>
      <c r="W127" s="204"/>
      <c r="X127" s="204">
        <f>1950-1642</f>
        <v>308</v>
      </c>
      <c r="Y127" s="204"/>
      <c r="Z127" s="204"/>
      <c r="AA127" s="204" t="s">
        <v>16</v>
      </c>
      <c r="AB127" s="204" t="s">
        <v>85</v>
      </c>
      <c r="AC127" s="204">
        <v>3</v>
      </c>
      <c r="AD127" s="208" t="s">
        <v>4179</v>
      </c>
      <c r="AE127" s="208" t="s">
        <v>3265</v>
      </c>
      <c r="AF127" s="92" t="s">
        <v>37</v>
      </c>
      <c r="AG127" s="743">
        <v>44137</v>
      </c>
      <c r="AH127" s="92"/>
      <c r="AI127" s="204"/>
      <c r="AJ127" s="1109"/>
    </row>
    <row r="128" spans="1:36" s="135" customFormat="1" ht="65.25" thickBot="1" x14ac:dyDescent="0.3">
      <c r="A128" s="339"/>
      <c r="B128" s="116"/>
      <c r="C128" s="95"/>
      <c r="D128" s="567"/>
      <c r="E128" s="567"/>
      <c r="F128" s="108"/>
      <c r="G128" s="506"/>
      <c r="H128" s="95"/>
      <c r="I128" s="108"/>
      <c r="J128" s="122"/>
      <c r="K128" s="89">
        <v>489</v>
      </c>
      <c r="L128" s="396" t="s">
        <v>3266</v>
      </c>
      <c r="M128" s="265">
        <v>1499604.0538999999</v>
      </c>
      <c r="N128" s="265">
        <v>5284676.8049999997</v>
      </c>
      <c r="O128" s="84" t="s">
        <v>41</v>
      </c>
      <c r="P128" s="84">
        <v>1</v>
      </c>
      <c r="Q128" s="396" t="s">
        <v>2156</v>
      </c>
      <c r="R128" s="90" t="s">
        <v>2156</v>
      </c>
      <c r="S128" s="428" t="s">
        <v>47</v>
      </c>
      <c r="T128" s="243" t="s">
        <v>3267</v>
      </c>
      <c r="U128" s="204">
        <f>1950-1110</f>
        <v>840</v>
      </c>
      <c r="V128" s="204"/>
      <c r="W128" s="204"/>
      <c r="X128" s="204">
        <f>1950-1601</f>
        <v>349</v>
      </c>
      <c r="Y128" s="204"/>
      <c r="Z128" s="204"/>
      <c r="AA128" s="204"/>
      <c r="AB128" s="204"/>
      <c r="AC128" s="204"/>
      <c r="AD128" s="208" t="s">
        <v>4180</v>
      </c>
      <c r="AE128" s="208" t="s">
        <v>3265</v>
      </c>
      <c r="AF128" s="92" t="s">
        <v>37</v>
      </c>
      <c r="AG128" s="743">
        <v>44137</v>
      </c>
      <c r="AH128" s="92"/>
      <c r="AI128" s="204"/>
      <c r="AJ128" s="1109"/>
    </row>
    <row r="129" spans="1:36" s="135" customFormat="1" ht="52.5" thickBot="1" x14ac:dyDescent="0.3">
      <c r="A129" s="339"/>
      <c r="B129" s="116"/>
      <c r="C129" s="95"/>
      <c r="D129" s="567"/>
      <c r="E129" s="567"/>
      <c r="F129" s="108"/>
      <c r="G129" s="506"/>
      <c r="H129" s="95"/>
      <c r="I129" s="108"/>
      <c r="J129" s="122"/>
      <c r="K129" s="89">
        <v>490</v>
      </c>
      <c r="L129" s="396" t="s">
        <v>3268</v>
      </c>
      <c r="M129" s="265">
        <v>1496023.2757999999</v>
      </c>
      <c r="N129" s="265">
        <v>5282527.6859999998</v>
      </c>
      <c r="O129" s="84" t="s">
        <v>41</v>
      </c>
      <c r="P129" s="84">
        <v>1</v>
      </c>
      <c r="Q129" s="396" t="s">
        <v>2156</v>
      </c>
      <c r="R129" s="90" t="s">
        <v>2156</v>
      </c>
      <c r="S129" s="428" t="s">
        <v>47</v>
      </c>
      <c r="T129" s="243" t="s">
        <v>3269</v>
      </c>
      <c r="U129" s="204">
        <f>1950-1689</f>
        <v>261</v>
      </c>
      <c r="V129" s="204"/>
      <c r="W129" s="204"/>
      <c r="X129" s="204">
        <f>1950-1843</f>
        <v>107</v>
      </c>
      <c r="Y129" s="204"/>
      <c r="Z129" s="204"/>
      <c r="AA129" s="204" t="s">
        <v>16</v>
      </c>
      <c r="AB129" s="204" t="s">
        <v>85</v>
      </c>
      <c r="AC129" s="204">
        <v>3</v>
      </c>
      <c r="AD129" s="208" t="s">
        <v>4181</v>
      </c>
      <c r="AE129" s="208" t="s">
        <v>3264</v>
      </c>
      <c r="AF129" s="92" t="s">
        <v>37</v>
      </c>
      <c r="AG129" s="743">
        <v>44137</v>
      </c>
      <c r="AH129" s="92"/>
      <c r="AI129" s="204"/>
      <c r="AJ129" s="1109"/>
    </row>
    <row r="130" spans="1:36" s="135" customFormat="1" ht="78" thickBot="1" x14ac:dyDescent="0.3">
      <c r="A130" s="339"/>
      <c r="B130" s="116"/>
      <c r="C130" s="95"/>
      <c r="D130" s="567"/>
      <c r="E130" s="567"/>
      <c r="F130" s="108"/>
      <c r="G130" s="506"/>
      <c r="H130" s="95"/>
      <c r="I130" s="108"/>
      <c r="J130" s="122"/>
      <c r="K130" s="89">
        <v>491</v>
      </c>
      <c r="L130" s="396" t="s">
        <v>3270</v>
      </c>
      <c r="M130" s="265">
        <v>1475186.2108</v>
      </c>
      <c r="N130" s="265">
        <v>5268994.5263999999</v>
      </c>
      <c r="O130" s="84" t="s">
        <v>41</v>
      </c>
      <c r="P130" s="84">
        <v>1</v>
      </c>
      <c r="Q130" s="396" t="s">
        <v>2156</v>
      </c>
      <c r="R130" s="90" t="s">
        <v>2156</v>
      </c>
      <c r="S130" s="38" t="s">
        <v>47</v>
      </c>
      <c r="T130" s="39" t="s">
        <v>3271</v>
      </c>
      <c r="U130" s="151">
        <f>1950-1691</f>
        <v>259</v>
      </c>
      <c r="V130" s="151"/>
      <c r="W130" s="151"/>
      <c r="X130" s="151">
        <f>1950-1841</f>
        <v>109</v>
      </c>
      <c r="Y130" s="151"/>
      <c r="Z130" s="151"/>
      <c r="AA130" s="151" t="s">
        <v>16</v>
      </c>
      <c r="AB130" s="151" t="s">
        <v>16</v>
      </c>
      <c r="AC130" s="151">
        <v>2</v>
      </c>
      <c r="AD130" s="152" t="s">
        <v>4182</v>
      </c>
      <c r="AE130" s="152" t="s">
        <v>3272</v>
      </c>
      <c r="AF130" s="40" t="s">
        <v>37</v>
      </c>
      <c r="AG130" s="744">
        <v>44137</v>
      </c>
      <c r="AH130" s="40"/>
      <c r="AI130" s="151"/>
      <c r="AJ130" s="1112"/>
    </row>
    <row r="131" spans="1:36" s="135" customFormat="1" ht="51.75" x14ac:dyDescent="0.25">
      <c r="A131" s="339"/>
      <c r="B131" s="116"/>
      <c r="C131" s="95"/>
      <c r="D131" s="567"/>
      <c r="E131" s="567"/>
      <c r="F131" s="108"/>
      <c r="G131" s="506"/>
      <c r="H131" s="95"/>
      <c r="I131" s="108"/>
      <c r="J131" s="122"/>
      <c r="K131" s="189">
        <v>512</v>
      </c>
      <c r="L131" s="355" t="s">
        <v>3354</v>
      </c>
      <c r="M131" s="911">
        <v>1476281.7456</v>
      </c>
      <c r="N131" s="911">
        <v>5269950.5965</v>
      </c>
      <c r="O131" s="125" t="s">
        <v>41</v>
      </c>
      <c r="P131" s="125">
        <v>1</v>
      </c>
      <c r="Q131" s="355" t="s">
        <v>2156</v>
      </c>
      <c r="R131" s="134" t="s">
        <v>2156</v>
      </c>
      <c r="S131" s="38" t="s">
        <v>47</v>
      </c>
      <c r="T131" s="39" t="s">
        <v>3356</v>
      </c>
      <c r="U131" s="151">
        <f>1950-1766</f>
        <v>184</v>
      </c>
      <c r="V131" s="151"/>
      <c r="W131" s="151"/>
      <c r="X131" s="151">
        <f>1950-1807</f>
        <v>143</v>
      </c>
      <c r="Y131" s="151"/>
      <c r="Z131" s="151"/>
      <c r="AA131" s="151" t="s">
        <v>10</v>
      </c>
      <c r="AB131" s="151" t="s">
        <v>16</v>
      </c>
      <c r="AC131" s="151">
        <v>2</v>
      </c>
      <c r="AD131" s="152" t="s">
        <v>3558</v>
      </c>
      <c r="AE131" s="152" t="s">
        <v>3359</v>
      </c>
      <c r="AF131" s="152" t="s">
        <v>37</v>
      </c>
      <c r="AG131" s="749">
        <v>44144</v>
      </c>
      <c r="AH131" s="152"/>
      <c r="AI131" s="151"/>
      <c r="AJ131" s="1112"/>
    </row>
    <row r="132" spans="1:36" s="135" customFormat="1" ht="39.75" thickBot="1" x14ac:dyDescent="0.3">
      <c r="A132" s="339"/>
      <c r="B132" s="116"/>
      <c r="C132" s="95"/>
      <c r="D132" s="567"/>
      <c r="E132" s="567"/>
      <c r="F132" s="108"/>
      <c r="G132" s="506"/>
      <c r="H132" s="95"/>
      <c r="I132" s="108"/>
      <c r="J132" s="122"/>
      <c r="K132" s="190">
        <v>513</v>
      </c>
      <c r="L132" s="357" t="s">
        <v>3355</v>
      </c>
      <c r="M132" s="912">
        <v>1476268.4957999999</v>
      </c>
      <c r="N132" s="912">
        <v>5270045.2381999996</v>
      </c>
      <c r="O132" s="96" t="s">
        <v>41</v>
      </c>
      <c r="P132" s="96">
        <v>1</v>
      </c>
      <c r="Q132" s="357" t="s">
        <v>2156</v>
      </c>
      <c r="R132" s="100" t="s">
        <v>2156</v>
      </c>
      <c r="S132" s="48" t="s">
        <v>91</v>
      </c>
      <c r="T132" s="49" t="s">
        <v>3357</v>
      </c>
      <c r="U132" s="154">
        <f>1950-1459</f>
        <v>491</v>
      </c>
      <c r="V132" s="154"/>
      <c r="W132" s="154"/>
      <c r="X132" s="154">
        <f>1950-1626</f>
        <v>324</v>
      </c>
      <c r="Y132" s="154"/>
      <c r="Z132" s="154"/>
      <c r="AA132" s="154" t="s">
        <v>10</v>
      </c>
      <c r="AB132" s="154" t="s">
        <v>16</v>
      </c>
      <c r="AC132" s="154">
        <v>2</v>
      </c>
      <c r="AD132" s="155" t="s">
        <v>3358</v>
      </c>
      <c r="AE132" s="155" t="s">
        <v>3359</v>
      </c>
      <c r="AF132" s="155" t="s">
        <v>37</v>
      </c>
      <c r="AG132" s="750">
        <v>44144</v>
      </c>
      <c r="AH132" s="155"/>
      <c r="AI132" s="154"/>
      <c r="AJ132" s="1111"/>
    </row>
    <row r="133" spans="1:36" s="551" customFormat="1" ht="39" x14ac:dyDescent="0.25">
      <c r="A133" s="339"/>
      <c r="B133" s="116"/>
      <c r="C133" s="95"/>
      <c r="D133" s="567"/>
      <c r="E133" s="567"/>
      <c r="F133" s="108"/>
      <c r="G133" s="506"/>
      <c r="H133" s="95"/>
      <c r="I133" s="108"/>
      <c r="J133" s="122"/>
      <c r="K133" s="189">
        <v>655</v>
      </c>
      <c r="L133" s="355" t="s">
        <v>4156</v>
      </c>
      <c r="M133" s="911">
        <v>1473921.2757000001</v>
      </c>
      <c r="N133" s="911">
        <v>5279724.4179999996</v>
      </c>
      <c r="O133" s="125" t="s">
        <v>41</v>
      </c>
      <c r="P133" s="125">
        <v>6</v>
      </c>
      <c r="Q133" s="355" t="s">
        <v>2156</v>
      </c>
      <c r="R133" s="134" t="s">
        <v>2156</v>
      </c>
      <c r="S133" s="38" t="s">
        <v>47</v>
      </c>
      <c r="T133" s="39" t="s">
        <v>4157</v>
      </c>
      <c r="U133" s="151">
        <f>1950-1586</f>
        <v>364</v>
      </c>
      <c r="V133" s="151"/>
      <c r="W133" s="151"/>
      <c r="X133" s="151">
        <f>1950-1751</f>
        <v>199</v>
      </c>
      <c r="Y133" s="151"/>
      <c r="Z133" s="151"/>
      <c r="AA133" s="151" t="s">
        <v>10</v>
      </c>
      <c r="AB133" s="151" t="s">
        <v>16</v>
      </c>
      <c r="AC133" s="151">
        <v>2</v>
      </c>
      <c r="AD133" s="152" t="s">
        <v>4164</v>
      </c>
      <c r="AE133" s="152" t="s">
        <v>4139</v>
      </c>
      <c r="AF133" s="152" t="s">
        <v>37</v>
      </c>
      <c r="AG133" s="749">
        <v>44207</v>
      </c>
      <c r="AH133" s="152"/>
      <c r="AI133" s="151"/>
      <c r="AJ133" s="1112"/>
    </row>
    <row r="134" spans="1:36" s="551" customFormat="1" ht="39" x14ac:dyDescent="0.25">
      <c r="A134" s="339"/>
      <c r="B134" s="116"/>
      <c r="C134" s="95"/>
      <c r="D134" s="567"/>
      <c r="E134" s="567"/>
      <c r="F134" s="108"/>
      <c r="G134" s="506"/>
      <c r="H134" s="95"/>
      <c r="I134" s="108"/>
      <c r="J134" s="122"/>
      <c r="K134" s="191"/>
      <c r="L134" s="359"/>
      <c r="M134" s="913"/>
      <c r="N134" s="913"/>
      <c r="O134" s="95"/>
      <c r="P134" s="95"/>
      <c r="Q134" s="359"/>
      <c r="R134" s="98"/>
      <c r="S134" s="42" t="s">
        <v>91</v>
      </c>
      <c r="T134" s="43" t="s">
        <v>4158</v>
      </c>
      <c r="U134" s="136"/>
      <c r="V134" s="136"/>
      <c r="W134" s="136"/>
      <c r="X134" s="136"/>
      <c r="Y134" s="136"/>
      <c r="Z134" s="136"/>
      <c r="AA134" s="136" t="s">
        <v>16</v>
      </c>
      <c r="AB134" s="136" t="s">
        <v>16</v>
      </c>
      <c r="AC134" s="136">
        <v>2</v>
      </c>
      <c r="AD134" s="137" t="s">
        <v>4163</v>
      </c>
      <c r="AE134" s="137" t="s">
        <v>4139</v>
      </c>
      <c r="AF134" s="137" t="s">
        <v>37</v>
      </c>
      <c r="AG134" s="755">
        <v>44207</v>
      </c>
      <c r="AH134" s="137"/>
      <c r="AI134" s="136"/>
      <c r="AJ134" s="1110"/>
    </row>
    <row r="135" spans="1:36" s="551" customFormat="1" ht="39" x14ac:dyDescent="0.25">
      <c r="A135" s="339"/>
      <c r="B135" s="116"/>
      <c r="C135" s="95"/>
      <c r="D135" s="567"/>
      <c r="E135" s="567"/>
      <c r="F135" s="108"/>
      <c r="G135" s="506"/>
      <c r="H135" s="95"/>
      <c r="I135" s="108"/>
      <c r="J135" s="122"/>
      <c r="K135" s="191"/>
      <c r="L135" s="359"/>
      <c r="M135" s="913"/>
      <c r="N135" s="913"/>
      <c r="O135" s="95"/>
      <c r="P135" s="95"/>
      <c r="Q135" s="359"/>
      <c r="R135" s="98"/>
      <c r="S135" s="42" t="s">
        <v>92</v>
      </c>
      <c r="T135" s="43" t="s">
        <v>4159</v>
      </c>
      <c r="U135" s="136"/>
      <c r="V135" s="136"/>
      <c r="W135" s="136"/>
      <c r="X135" s="136"/>
      <c r="Y135" s="136"/>
      <c r="Z135" s="136"/>
      <c r="AA135" s="136" t="s">
        <v>16</v>
      </c>
      <c r="AB135" s="136" t="s">
        <v>16</v>
      </c>
      <c r="AC135" s="136">
        <v>2</v>
      </c>
      <c r="AD135" s="137" t="s">
        <v>4163</v>
      </c>
      <c r="AE135" s="137" t="s">
        <v>4139</v>
      </c>
      <c r="AF135" s="137" t="s">
        <v>37</v>
      </c>
      <c r="AG135" s="755">
        <v>44207</v>
      </c>
      <c r="AH135" s="137"/>
      <c r="AI135" s="136"/>
      <c r="AJ135" s="1110"/>
    </row>
    <row r="136" spans="1:36" s="551" customFormat="1" ht="39" x14ac:dyDescent="0.25">
      <c r="A136" s="339"/>
      <c r="B136" s="116"/>
      <c r="C136" s="95"/>
      <c r="D136" s="567"/>
      <c r="E136" s="567"/>
      <c r="F136" s="108"/>
      <c r="G136" s="506"/>
      <c r="H136" s="95"/>
      <c r="I136" s="108"/>
      <c r="J136" s="122"/>
      <c r="K136" s="191"/>
      <c r="L136" s="359"/>
      <c r="M136" s="913"/>
      <c r="N136" s="913"/>
      <c r="O136" s="95"/>
      <c r="P136" s="95"/>
      <c r="Q136" s="359"/>
      <c r="R136" s="98"/>
      <c r="S136" s="42" t="s">
        <v>99</v>
      </c>
      <c r="T136" s="43" t="s">
        <v>4160</v>
      </c>
      <c r="U136" s="136"/>
      <c r="V136" s="136"/>
      <c r="W136" s="136"/>
      <c r="X136" s="136"/>
      <c r="Y136" s="136"/>
      <c r="Z136" s="136"/>
      <c r="AA136" s="136" t="s">
        <v>16</v>
      </c>
      <c r="AB136" s="136" t="s">
        <v>16</v>
      </c>
      <c r="AC136" s="136">
        <v>2</v>
      </c>
      <c r="AD136" s="137" t="s">
        <v>4163</v>
      </c>
      <c r="AE136" s="137" t="s">
        <v>4139</v>
      </c>
      <c r="AF136" s="137" t="s">
        <v>37</v>
      </c>
      <c r="AG136" s="755">
        <v>44207</v>
      </c>
      <c r="AH136" s="137"/>
      <c r="AI136" s="136"/>
      <c r="AJ136" s="1110"/>
    </row>
    <row r="137" spans="1:36" s="551" customFormat="1" ht="39" x14ac:dyDescent="0.25">
      <c r="A137" s="339"/>
      <c r="B137" s="116"/>
      <c r="C137" s="95"/>
      <c r="D137" s="567"/>
      <c r="E137" s="567"/>
      <c r="F137" s="108"/>
      <c r="G137" s="506"/>
      <c r="H137" s="95"/>
      <c r="I137" s="108"/>
      <c r="J137" s="122"/>
      <c r="K137" s="191"/>
      <c r="L137" s="359"/>
      <c r="M137" s="913"/>
      <c r="N137" s="913"/>
      <c r="O137" s="95"/>
      <c r="P137" s="95"/>
      <c r="Q137" s="359"/>
      <c r="R137" s="98"/>
      <c r="S137" s="42" t="s">
        <v>100</v>
      </c>
      <c r="T137" s="43" t="s">
        <v>4161</v>
      </c>
      <c r="U137" s="136"/>
      <c r="V137" s="136"/>
      <c r="W137" s="136"/>
      <c r="X137" s="136"/>
      <c r="Y137" s="136"/>
      <c r="Z137" s="136"/>
      <c r="AA137" s="136" t="s">
        <v>16</v>
      </c>
      <c r="AB137" s="136" t="s">
        <v>16</v>
      </c>
      <c r="AC137" s="136">
        <v>2</v>
      </c>
      <c r="AD137" s="137" t="s">
        <v>4163</v>
      </c>
      <c r="AE137" s="137" t="s">
        <v>4139</v>
      </c>
      <c r="AF137" s="137" t="s">
        <v>37</v>
      </c>
      <c r="AG137" s="755">
        <v>44207</v>
      </c>
      <c r="AH137" s="137"/>
      <c r="AI137" s="136"/>
      <c r="AJ137" s="1110"/>
    </row>
    <row r="138" spans="1:36" s="551" customFormat="1" ht="39.75" thickBot="1" x14ac:dyDescent="0.3">
      <c r="A138" s="339"/>
      <c r="B138" s="116"/>
      <c r="C138" s="95"/>
      <c r="D138" s="567"/>
      <c r="E138" s="567"/>
      <c r="F138" s="108"/>
      <c r="G138" s="506"/>
      <c r="H138" s="95"/>
      <c r="I138" s="108"/>
      <c r="J138" s="122"/>
      <c r="K138" s="191"/>
      <c r="L138" s="359"/>
      <c r="M138" s="913"/>
      <c r="N138" s="913"/>
      <c r="O138" s="95"/>
      <c r="P138" s="95"/>
      <c r="Q138" s="359"/>
      <c r="R138" s="98"/>
      <c r="S138" s="42" t="s">
        <v>101</v>
      </c>
      <c r="T138" s="43" t="s">
        <v>4162</v>
      </c>
      <c r="U138" s="136"/>
      <c r="V138" s="136"/>
      <c r="W138" s="136"/>
      <c r="X138" s="136"/>
      <c r="Y138" s="136"/>
      <c r="Z138" s="136"/>
      <c r="AA138" s="136" t="s">
        <v>16</v>
      </c>
      <c r="AB138" s="136" t="s">
        <v>16</v>
      </c>
      <c r="AC138" s="136">
        <v>2</v>
      </c>
      <c r="AD138" s="137" t="s">
        <v>4163</v>
      </c>
      <c r="AE138" s="137" t="s">
        <v>4139</v>
      </c>
      <c r="AF138" s="137" t="s">
        <v>37</v>
      </c>
      <c r="AG138" s="755">
        <v>44207</v>
      </c>
      <c r="AH138" s="137"/>
      <c r="AI138" s="136"/>
      <c r="AJ138" s="1110"/>
    </row>
    <row r="139" spans="1:36" s="496" customFormat="1" ht="77.25" x14ac:dyDescent="0.25">
      <c r="A139" s="339"/>
      <c r="B139" s="116"/>
      <c r="C139" s="95"/>
      <c r="D139" s="567"/>
      <c r="E139" s="567"/>
      <c r="F139" s="108"/>
      <c r="G139" s="506"/>
      <c r="H139" s="95"/>
      <c r="I139" s="108"/>
      <c r="J139" s="122"/>
      <c r="K139" s="189">
        <v>971</v>
      </c>
      <c r="L139" s="355" t="s">
        <v>7737</v>
      </c>
      <c r="M139" s="911">
        <v>1448477.9735000001</v>
      </c>
      <c r="N139" s="911">
        <v>5256107.9621000001</v>
      </c>
      <c r="O139" s="125" t="s">
        <v>41</v>
      </c>
      <c r="P139" s="125">
        <v>12</v>
      </c>
      <c r="Q139" s="355" t="s">
        <v>2156</v>
      </c>
      <c r="R139" s="134" t="s">
        <v>2156</v>
      </c>
      <c r="S139" s="38" t="s">
        <v>47</v>
      </c>
      <c r="T139" s="39" t="s">
        <v>7738</v>
      </c>
      <c r="U139" s="151">
        <f>1950-1685</f>
        <v>265</v>
      </c>
      <c r="V139" s="151"/>
      <c r="W139" s="151"/>
      <c r="X139" s="151">
        <f>1950-1744</f>
        <v>206</v>
      </c>
      <c r="Y139" s="151"/>
      <c r="Z139" s="151"/>
      <c r="AA139" s="151" t="s">
        <v>10</v>
      </c>
      <c r="AB139" s="151" t="s">
        <v>16</v>
      </c>
      <c r="AC139" s="151">
        <v>2</v>
      </c>
      <c r="AD139" s="152" t="s">
        <v>7808</v>
      </c>
      <c r="AE139" s="152" t="s">
        <v>7750</v>
      </c>
      <c r="AF139" s="152" t="s">
        <v>37</v>
      </c>
      <c r="AG139" s="749">
        <v>44358</v>
      </c>
      <c r="AH139" s="152"/>
      <c r="AI139" s="151"/>
      <c r="AJ139" s="1112"/>
    </row>
    <row r="140" spans="1:36" s="496" customFormat="1" ht="51.75" x14ac:dyDescent="0.25">
      <c r="A140" s="339"/>
      <c r="B140" s="116"/>
      <c r="C140" s="95"/>
      <c r="D140" s="567"/>
      <c r="E140" s="567"/>
      <c r="F140" s="108"/>
      <c r="G140" s="506"/>
      <c r="H140" s="95"/>
      <c r="I140" s="108"/>
      <c r="J140" s="122"/>
      <c r="K140" s="191"/>
      <c r="L140" s="359"/>
      <c r="M140" s="913"/>
      <c r="N140" s="913"/>
      <c r="O140" s="95"/>
      <c r="P140" s="95"/>
      <c r="Q140" s="359"/>
      <c r="R140" s="98"/>
      <c r="S140" s="42" t="s">
        <v>91</v>
      </c>
      <c r="T140" s="43" t="s">
        <v>7739</v>
      </c>
      <c r="U140" s="136">
        <f>1950-1362</f>
        <v>588</v>
      </c>
      <c r="V140" s="136"/>
      <c r="W140" s="136"/>
      <c r="X140" s="136">
        <f>1950-1425</f>
        <v>525</v>
      </c>
      <c r="Y140" s="136"/>
      <c r="Z140" s="136"/>
      <c r="AA140" s="136" t="s">
        <v>10</v>
      </c>
      <c r="AB140" s="136" t="s">
        <v>16</v>
      </c>
      <c r="AC140" s="136">
        <v>2</v>
      </c>
      <c r="AD140" s="137" t="s">
        <v>7787</v>
      </c>
      <c r="AE140" s="137" t="s">
        <v>7750</v>
      </c>
      <c r="AF140" s="137" t="s">
        <v>37</v>
      </c>
      <c r="AG140" s="755">
        <v>44358</v>
      </c>
      <c r="AH140" s="137"/>
      <c r="AI140" s="136"/>
      <c r="AJ140" s="1110"/>
    </row>
    <row r="141" spans="1:36" s="496" customFormat="1" ht="51.75" x14ac:dyDescent="0.25">
      <c r="A141" s="339"/>
      <c r="B141" s="116"/>
      <c r="C141" s="95"/>
      <c r="D141" s="567"/>
      <c r="E141" s="567"/>
      <c r="F141" s="108"/>
      <c r="G141" s="506"/>
      <c r="H141" s="95"/>
      <c r="I141" s="108"/>
      <c r="J141" s="122"/>
      <c r="K141" s="191"/>
      <c r="L141" s="359"/>
      <c r="M141" s="913"/>
      <c r="N141" s="913"/>
      <c r="O141" s="95"/>
      <c r="P141" s="95"/>
      <c r="Q141" s="359"/>
      <c r="R141" s="98"/>
      <c r="S141" s="42" t="s">
        <v>92</v>
      </c>
      <c r="T141" s="43" t="s">
        <v>7740</v>
      </c>
      <c r="U141" s="136">
        <f>1950-1086</f>
        <v>864</v>
      </c>
      <c r="V141" s="136"/>
      <c r="W141" s="136"/>
      <c r="X141" s="136">
        <f>1950-1171</f>
        <v>779</v>
      </c>
      <c r="Y141" s="136"/>
      <c r="Z141" s="136"/>
      <c r="AA141" s="136" t="s">
        <v>10</v>
      </c>
      <c r="AB141" s="136" t="s">
        <v>16</v>
      </c>
      <c r="AC141" s="136">
        <v>2</v>
      </c>
      <c r="AD141" s="137" t="s">
        <v>7787</v>
      </c>
      <c r="AE141" s="137" t="s">
        <v>7750</v>
      </c>
      <c r="AF141" s="137" t="s">
        <v>37</v>
      </c>
      <c r="AG141" s="755">
        <v>44358</v>
      </c>
      <c r="AH141" s="137"/>
      <c r="AI141" s="136"/>
      <c r="AJ141" s="1110"/>
    </row>
    <row r="142" spans="1:36" s="496" customFormat="1" ht="51.75" x14ac:dyDescent="0.25">
      <c r="A142" s="339"/>
      <c r="B142" s="116"/>
      <c r="C142" s="95"/>
      <c r="D142" s="567"/>
      <c r="E142" s="567"/>
      <c r="F142" s="108"/>
      <c r="G142" s="506"/>
      <c r="H142" s="95"/>
      <c r="I142" s="108"/>
      <c r="J142" s="122"/>
      <c r="K142" s="191"/>
      <c r="L142" s="359"/>
      <c r="M142" s="913"/>
      <c r="N142" s="913"/>
      <c r="O142" s="95"/>
      <c r="P142" s="95"/>
      <c r="Q142" s="359"/>
      <c r="R142" s="98"/>
      <c r="S142" s="42" t="s">
        <v>99</v>
      </c>
      <c r="T142" s="43" t="s">
        <v>7741</v>
      </c>
      <c r="U142" s="136">
        <f>1950-921</f>
        <v>1029</v>
      </c>
      <c r="V142" s="136"/>
      <c r="W142" s="136"/>
      <c r="X142" s="136">
        <f>1950-1006</f>
        <v>944</v>
      </c>
      <c r="Y142" s="136"/>
      <c r="Z142" s="136"/>
      <c r="AA142" s="136" t="s">
        <v>10</v>
      </c>
      <c r="AB142" s="136" t="s">
        <v>16</v>
      </c>
      <c r="AC142" s="136">
        <v>2</v>
      </c>
      <c r="AD142" s="137" t="s">
        <v>7787</v>
      </c>
      <c r="AE142" s="137" t="s">
        <v>7750</v>
      </c>
      <c r="AF142" s="137" t="s">
        <v>37</v>
      </c>
      <c r="AG142" s="755">
        <v>44358</v>
      </c>
      <c r="AH142" s="137"/>
      <c r="AI142" s="136"/>
      <c r="AJ142" s="1110"/>
    </row>
    <row r="143" spans="1:36" s="496" customFormat="1" ht="51.75" x14ac:dyDescent="0.25">
      <c r="A143" s="339"/>
      <c r="B143" s="116"/>
      <c r="C143" s="95"/>
      <c r="D143" s="567"/>
      <c r="E143" s="567"/>
      <c r="F143" s="108"/>
      <c r="G143" s="506"/>
      <c r="H143" s="95"/>
      <c r="I143" s="108"/>
      <c r="J143" s="122"/>
      <c r="K143" s="191"/>
      <c r="L143" s="359"/>
      <c r="M143" s="913"/>
      <c r="N143" s="913"/>
      <c r="O143" s="95"/>
      <c r="P143" s="95"/>
      <c r="Q143" s="359"/>
      <c r="R143" s="98"/>
      <c r="S143" s="42" t="s">
        <v>100</v>
      </c>
      <c r="T143" s="43" t="s">
        <v>7742</v>
      </c>
      <c r="U143" s="136">
        <f>1950-573</f>
        <v>1377</v>
      </c>
      <c r="V143" s="136"/>
      <c r="W143" s="136"/>
      <c r="X143" s="136">
        <f>1950-683</f>
        <v>1267</v>
      </c>
      <c r="Y143" s="136"/>
      <c r="Z143" s="136"/>
      <c r="AA143" s="136" t="s">
        <v>10</v>
      </c>
      <c r="AB143" s="136" t="s">
        <v>16</v>
      </c>
      <c r="AC143" s="136">
        <v>2</v>
      </c>
      <c r="AD143" s="137" t="s">
        <v>7787</v>
      </c>
      <c r="AE143" s="137" t="s">
        <v>7750</v>
      </c>
      <c r="AF143" s="137" t="s">
        <v>37</v>
      </c>
      <c r="AG143" s="755">
        <v>44358</v>
      </c>
      <c r="AH143" s="137"/>
      <c r="AI143" s="136"/>
      <c r="AJ143" s="1110"/>
    </row>
    <row r="144" spans="1:36" s="551" customFormat="1" ht="51.75" x14ac:dyDescent="0.25">
      <c r="A144" s="339"/>
      <c r="B144" s="116"/>
      <c r="C144" s="95"/>
      <c r="D144" s="567"/>
      <c r="E144" s="567"/>
      <c r="F144" s="108"/>
      <c r="G144" s="506"/>
      <c r="H144" s="95"/>
      <c r="I144" s="108"/>
      <c r="J144" s="122"/>
      <c r="K144" s="191"/>
      <c r="L144" s="359"/>
      <c r="M144" s="913"/>
      <c r="N144" s="913"/>
      <c r="O144" s="95"/>
      <c r="P144" s="95"/>
      <c r="Q144" s="359"/>
      <c r="R144" s="98"/>
      <c r="S144" s="42" t="s">
        <v>101</v>
      </c>
      <c r="T144" s="43" t="s">
        <v>7743</v>
      </c>
      <c r="U144" s="136">
        <f>1950-345</f>
        <v>1605</v>
      </c>
      <c r="V144" s="136"/>
      <c r="W144" s="136"/>
      <c r="X144" s="136">
        <f>1950-476</f>
        <v>1474</v>
      </c>
      <c r="Y144" s="136"/>
      <c r="Z144" s="136"/>
      <c r="AA144" s="136" t="s">
        <v>10</v>
      </c>
      <c r="AB144" s="136" t="s">
        <v>16</v>
      </c>
      <c r="AC144" s="136">
        <v>2</v>
      </c>
      <c r="AD144" s="137" t="s">
        <v>7787</v>
      </c>
      <c r="AE144" s="137" t="s">
        <v>7750</v>
      </c>
      <c r="AF144" s="137" t="s">
        <v>37</v>
      </c>
      <c r="AG144" s="755">
        <v>44358</v>
      </c>
      <c r="AH144" s="137"/>
      <c r="AI144" s="136"/>
      <c r="AJ144" s="1110"/>
    </row>
    <row r="145" spans="1:36" s="551" customFormat="1" ht="51.75" x14ac:dyDescent="0.25">
      <c r="A145" s="339"/>
      <c r="B145" s="116"/>
      <c r="C145" s="95"/>
      <c r="D145" s="567"/>
      <c r="E145" s="567"/>
      <c r="F145" s="108"/>
      <c r="G145" s="506"/>
      <c r="H145" s="95"/>
      <c r="I145" s="108"/>
      <c r="J145" s="122"/>
      <c r="K145" s="191"/>
      <c r="L145" s="359"/>
      <c r="M145" s="913"/>
      <c r="N145" s="913"/>
      <c r="O145" s="95"/>
      <c r="P145" s="95"/>
      <c r="Q145" s="359"/>
      <c r="R145" s="98"/>
      <c r="S145" s="42" t="s">
        <v>102</v>
      </c>
      <c r="T145" s="43" t="s">
        <v>7744</v>
      </c>
      <c r="U145" s="136">
        <f>1950-72</f>
        <v>1878</v>
      </c>
      <c r="V145" s="136"/>
      <c r="W145" s="136"/>
      <c r="X145" s="136">
        <f>1950-202</f>
        <v>1748</v>
      </c>
      <c r="Y145" s="136"/>
      <c r="Z145" s="136"/>
      <c r="AA145" s="136" t="s">
        <v>10</v>
      </c>
      <c r="AB145" s="136" t="s">
        <v>16</v>
      </c>
      <c r="AC145" s="136">
        <v>2</v>
      </c>
      <c r="AD145" s="137" t="s">
        <v>7787</v>
      </c>
      <c r="AE145" s="137" t="s">
        <v>7750</v>
      </c>
      <c r="AF145" s="137" t="s">
        <v>37</v>
      </c>
      <c r="AG145" s="755">
        <v>44358</v>
      </c>
      <c r="AH145" s="137"/>
      <c r="AI145" s="136"/>
      <c r="AJ145" s="1110"/>
    </row>
    <row r="146" spans="1:36" s="551" customFormat="1" ht="51.75" x14ac:dyDescent="0.25">
      <c r="A146" s="339"/>
      <c r="B146" s="116"/>
      <c r="C146" s="95"/>
      <c r="D146" s="567"/>
      <c r="E146" s="567"/>
      <c r="F146" s="108"/>
      <c r="G146" s="506"/>
      <c r="H146" s="95"/>
      <c r="I146" s="108"/>
      <c r="J146" s="122"/>
      <c r="K146" s="191"/>
      <c r="L146" s="359"/>
      <c r="M146" s="913"/>
      <c r="N146" s="913"/>
      <c r="O146" s="95"/>
      <c r="P146" s="95"/>
      <c r="Q146" s="359"/>
      <c r="R146" s="98"/>
      <c r="S146" s="42" t="s">
        <v>103</v>
      </c>
      <c r="T146" s="43" t="s">
        <v>7745</v>
      </c>
      <c r="U146" s="136">
        <f>1950+181</f>
        <v>2131</v>
      </c>
      <c r="V146" s="136"/>
      <c r="W146" s="136"/>
      <c r="X146" s="136">
        <f>1950+66</f>
        <v>2016</v>
      </c>
      <c r="Y146" s="136"/>
      <c r="Z146" s="136"/>
      <c r="AA146" s="136" t="s">
        <v>10</v>
      </c>
      <c r="AB146" s="136" t="s">
        <v>16</v>
      </c>
      <c r="AC146" s="136">
        <v>2</v>
      </c>
      <c r="AD146" s="137" t="s">
        <v>7787</v>
      </c>
      <c r="AE146" s="137" t="s">
        <v>7750</v>
      </c>
      <c r="AF146" s="137" t="s">
        <v>37</v>
      </c>
      <c r="AG146" s="755">
        <v>44358</v>
      </c>
      <c r="AH146" s="137"/>
      <c r="AI146" s="136"/>
      <c r="AJ146" s="1110"/>
    </row>
    <row r="147" spans="1:36" s="551" customFormat="1" ht="51.75" x14ac:dyDescent="0.25">
      <c r="A147" s="339"/>
      <c r="B147" s="116"/>
      <c r="C147" s="95"/>
      <c r="D147" s="567"/>
      <c r="E147" s="567"/>
      <c r="F147" s="108"/>
      <c r="G147" s="506"/>
      <c r="H147" s="95"/>
      <c r="I147" s="108"/>
      <c r="J147" s="122"/>
      <c r="K147" s="191"/>
      <c r="L147" s="359"/>
      <c r="M147" s="913"/>
      <c r="N147" s="913"/>
      <c r="O147" s="95"/>
      <c r="P147" s="95"/>
      <c r="Q147" s="359"/>
      <c r="R147" s="98"/>
      <c r="S147" s="42" t="s">
        <v>104</v>
      </c>
      <c r="T147" s="43" t="s">
        <v>7746</v>
      </c>
      <c r="U147" s="136">
        <f>1950+410</f>
        <v>2360</v>
      </c>
      <c r="V147" s="136"/>
      <c r="W147" s="136"/>
      <c r="X147" s="136">
        <f>1950+291</f>
        <v>2241</v>
      </c>
      <c r="Y147" s="136"/>
      <c r="Z147" s="136"/>
      <c r="AA147" s="136" t="s">
        <v>10</v>
      </c>
      <c r="AB147" s="136" t="s">
        <v>16</v>
      </c>
      <c r="AC147" s="136">
        <v>2</v>
      </c>
      <c r="AD147" s="137" t="s">
        <v>7787</v>
      </c>
      <c r="AE147" s="137" t="s">
        <v>7750</v>
      </c>
      <c r="AF147" s="137" t="s">
        <v>37</v>
      </c>
      <c r="AG147" s="755">
        <v>44358</v>
      </c>
      <c r="AH147" s="137"/>
      <c r="AI147" s="136"/>
      <c r="AJ147" s="1110"/>
    </row>
    <row r="148" spans="1:36" s="551" customFormat="1" ht="51.75" x14ac:dyDescent="0.25">
      <c r="A148" s="339"/>
      <c r="B148" s="116"/>
      <c r="C148" s="95"/>
      <c r="D148" s="567"/>
      <c r="E148" s="567"/>
      <c r="F148" s="108"/>
      <c r="G148" s="506"/>
      <c r="H148" s="95"/>
      <c r="I148" s="108"/>
      <c r="J148" s="122"/>
      <c r="K148" s="191"/>
      <c r="L148" s="359"/>
      <c r="M148" s="913"/>
      <c r="N148" s="913"/>
      <c r="O148" s="95"/>
      <c r="P148" s="95"/>
      <c r="Q148" s="359"/>
      <c r="R148" s="98"/>
      <c r="S148" s="42" t="s">
        <v>105</v>
      </c>
      <c r="T148" s="43" t="s">
        <v>7747</v>
      </c>
      <c r="U148" s="136">
        <f>1950+586</f>
        <v>2536</v>
      </c>
      <c r="V148" s="136"/>
      <c r="W148" s="136"/>
      <c r="X148" s="136">
        <f>1950+447</f>
        <v>2397</v>
      </c>
      <c r="Y148" s="136"/>
      <c r="Z148" s="136"/>
      <c r="AA148" s="136" t="s">
        <v>10</v>
      </c>
      <c r="AB148" s="136" t="s">
        <v>16</v>
      </c>
      <c r="AC148" s="136">
        <v>2</v>
      </c>
      <c r="AD148" s="137" t="s">
        <v>7787</v>
      </c>
      <c r="AE148" s="137" t="s">
        <v>7750</v>
      </c>
      <c r="AF148" s="137" t="s">
        <v>37</v>
      </c>
      <c r="AG148" s="755">
        <v>44358</v>
      </c>
      <c r="AH148" s="137"/>
      <c r="AI148" s="136"/>
      <c r="AJ148" s="1110"/>
    </row>
    <row r="149" spans="1:36" s="551" customFormat="1" ht="51.75" x14ac:dyDescent="0.25">
      <c r="A149" s="339"/>
      <c r="B149" s="116"/>
      <c r="C149" s="95"/>
      <c r="D149" s="567"/>
      <c r="E149" s="567"/>
      <c r="F149" s="108"/>
      <c r="G149" s="506"/>
      <c r="H149" s="95"/>
      <c r="I149" s="108"/>
      <c r="J149" s="122"/>
      <c r="K149" s="191"/>
      <c r="L149" s="359"/>
      <c r="M149" s="913"/>
      <c r="N149" s="913"/>
      <c r="O149" s="95"/>
      <c r="P149" s="95"/>
      <c r="Q149" s="359"/>
      <c r="R149" s="98"/>
      <c r="S149" s="42" t="s">
        <v>106</v>
      </c>
      <c r="T149" s="43" t="s">
        <v>7748</v>
      </c>
      <c r="U149" s="136">
        <f>1950+949</f>
        <v>2899</v>
      </c>
      <c r="V149" s="136"/>
      <c r="W149" s="136"/>
      <c r="X149" s="136">
        <f>1950+803</f>
        <v>2753</v>
      </c>
      <c r="Y149" s="136"/>
      <c r="Z149" s="136"/>
      <c r="AA149" s="136" t="s">
        <v>10</v>
      </c>
      <c r="AB149" s="136" t="s">
        <v>16</v>
      </c>
      <c r="AC149" s="136">
        <v>2</v>
      </c>
      <c r="AD149" s="137" t="s">
        <v>7787</v>
      </c>
      <c r="AE149" s="137" t="s">
        <v>7750</v>
      </c>
      <c r="AF149" s="137" t="s">
        <v>37</v>
      </c>
      <c r="AG149" s="755">
        <v>44358</v>
      </c>
      <c r="AH149" s="137"/>
      <c r="AI149" s="136"/>
      <c r="AJ149" s="1110"/>
    </row>
    <row r="150" spans="1:36" s="551" customFormat="1" ht="52.5" thickBot="1" x14ac:dyDescent="0.3">
      <c r="A150" s="336"/>
      <c r="B150" s="196"/>
      <c r="C150" s="96"/>
      <c r="D150" s="566"/>
      <c r="E150" s="566"/>
      <c r="F150" s="107"/>
      <c r="G150" s="812"/>
      <c r="H150" s="96"/>
      <c r="I150" s="107"/>
      <c r="J150" s="123"/>
      <c r="K150" s="190"/>
      <c r="L150" s="357"/>
      <c r="M150" s="912"/>
      <c r="N150" s="912"/>
      <c r="O150" s="96"/>
      <c r="P150" s="96"/>
      <c r="Q150" s="357"/>
      <c r="R150" s="100"/>
      <c r="S150" s="48" t="s">
        <v>107</v>
      </c>
      <c r="T150" s="49" t="s">
        <v>7749</v>
      </c>
      <c r="U150" s="154">
        <f>1950+1117</f>
        <v>3067</v>
      </c>
      <c r="V150" s="154"/>
      <c r="W150" s="154"/>
      <c r="X150" s="154">
        <f>1950+984</f>
        <v>2934</v>
      </c>
      <c r="Y150" s="154"/>
      <c r="Z150" s="154"/>
      <c r="AA150" s="154" t="s">
        <v>10</v>
      </c>
      <c r="AB150" s="154" t="s">
        <v>16</v>
      </c>
      <c r="AC150" s="154">
        <v>2</v>
      </c>
      <c r="AD150" s="155" t="s">
        <v>7787</v>
      </c>
      <c r="AE150" s="155" t="s">
        <v>7750</v>
      </c>
      <c r="AF150" s="155" t="s">
        <v>37</v>
      </c>
      <c r="AG150" s="750">
        <v>44358</v>
      </c>
      <c r="AH150" s="155"/>
      <c r="AI150" s="154"/>
      <c r="AJ150" s="1111"/>
    </row>
    <row r="151" spans="1:36" ht="39" x14ac:dyDescent="0.25">
      <c r="A151" s="487" t="s">
        <v>86</v>
      </c>
      <c r="B151" s="128" t="s">
        <v>6799</v>
      </c>
      <c r="C151" s="72">
        <v>596</v>
      </c>
      <c r="D151" s="586" t="s">
        <v>53</v>
      </c>
      <c r="E151" s="586" t="s">
        <v>52</v>
      </c>
      <c r="F151" s="129"/>
      <c r="G151" s="129"/>
      <c r="H151" s="72"/>
      <c r="I151" s="129"/>
      <c r="J151" s="381"/>
      <c r="K151" s="187">
        <v>187</v>
      </c>
      <c r="L151" s="73" t="s">
        <v>3244</v>
      </c>
      <c r="M151" s="914">
        <v>1559441.6444000001</v>
      </c>
      <c r="N151" s="914">
        <v>5348679.2154999999</v>
      </c>
      <c r="O151" s="72" t="s">
        <v>41</v>
      </c>
      <c r="P151" s="72">
        <v>1</v>
      </c>
      <c r="Q151" s="73" t="s">
        <v>2156</v>
      </c>
      <c r="R151" s="74" t="s">
        <v>2156</v>
      </c>
      <c r="S151" s="38" t="s">
        <v>47</v>
      </c>
      <c r="T151" s="39" t="s">
        <v>3246</v>
      </c>
      <c r="U151" s="31">
        <f>1950-1700</f>
        <v>250</v>
      </c>
      <c r="V151" s="31"/>
      <c r="W151" s="31"/>
      <c r="X151" s="31">
        <f>1950-1843</f>
        <v>107</v>
      </c>
      <c r="Y151" s="31"/>
      <c r="Z151" s="31"/>
      <c r="AA151" s="31" t="s">
        <v>16</v>
      </c>
      <c r="AB151" s="31" t="s">
        <v>10</v>
      </c>
      <c r="AC151" s="31">
        <v>2</v>
      </c>
      <c r="AD151" s="40" t="s">
        <v>4165</v>
      </c>
      <c r="AE151" s="40" t="s">
        <v>3247</v>
      </c>
      <c r="AF151" s="40" t="s">
        <v>37</v>
      </c>
      <c r="AG151" s="744">
        <v>44137</v>
      </c>
      <c r="AH151" s="40"/>
      <c r="AI151" s="31"/>
      <c r="AJ151" s="652"/>
    </row>
    <row r="152" spans="1:36" s="135" customFormat="1" ht="65.25" thickBot="1" x14ac:dyDescent="0.3">
      <c r="A152" s="488"/>
      <c r="B152" s="131"/>
      <c r="C152" s="75"/>
      <c r="D152" s="568"/>
      <c r="E152" s="568"/>
      <c r="F152" s="118"/>
      <c r="G152" s="118"/>
      <c r="H152" s="75"/>
      <c r="I152" s="118"/>
      <c r="J152" s="121"/>
      <c r="K152" s="192">
        <v>484</v>
      </c>
      <c r="L152" s="79" t="s">
        <v>3245</v>
      </c>
      <c r="M152" s="916">
        <v>1559382.2875000001</v>
      </c>
      <c r="N152" s="916">
        <v>5348656.5467999997</v>
      </c>
      <c r="O152" s="78" t="s">
        <v>41</v>
      </c>
      <c r="P152" s="78">
        <v>1</v>
      </c>
      <c r="Q152" s="79" t="s">
        <v>2156</v>
      </c>
      <c r="R152" s="80" t="s">
        <v>2156</v>
      </c>
      <c r="S152" s="48" t="s">
        <v>47</v>
      </c>
      <c r="T152" s="49" t="s">
        <v>3248</v>
      </c>
      <c r="U152" s="154">
        <f>1950-1516</f>
        <v>434</v>
      </c>
      <c r="V152" s="154"/>
      <c r="W152" s="154"/>
      <c r="X152" s="154">
        <f>1950-1837</f>
        <v>113</v>
      </c>
      <c r="Y152" s="154"/>
      <c r="Z152" s="154"/>
      <c r="AA152" s="154" t="s">
        <v>16</v>
      </c>
      <c r="AB152" s="154" t="s">
        <v>85</v>
      </c>
      <c r="AC152" s="154">
        <v>3</v>
      </c>
      <c r="AD152" s="155" t="s">
        <v>4166</v>
      </c>
      <c r="AE152" s="52" t="s">
        <v>3247</v>
      </c>
      <c r="AF152" s="52" t="s">
        <v>37</v>
      </c>
      <c r="AG152" s="745">
        <v>44137</v>
      </c>
      <c r="AH152" s="52"/>
      <c r="AI152" s="154"/>
      <c r="AJ152" s="1111"/>
    </row>
    <row r="153" spans="1:36" s="135" customFormat="1" ht="39.75" thickBot="1" x14ac:dyDescent="0.3">
      <c r="A153" s="488"/>
      <c r="B153" s="131"/>
      <c r="C153" s="75"/>
      <c r="D153" s="568"/>
      <c r="E153" s="568"/>
      <c r="F153" s="118"/>
      <c r="G153" s="118"/>
      <c r="H153" s="75"/>
      <c r="I153" s="118"/>
      <c r="J153" s="121"/>
      <c r="K153" s="87">
        <v>485</v>
      </c>
      <c r="L153" s="360" t="s">
        <v>3249</v>
      </c>
      <c r="M153" s="198">
        <v>1536217.4863</v>
      </c>
      <c r="N153" s="198">
        <v>5311215.1354</v>
      </c>
      <c r="O153" s="83" t="s">
        <v>41</v>
      </c>
      <c r="P153" s="83">
        <v>1</v>
      </c>
      <c r="Q153" s="360" t="s">
        <v>2156</v>
      </c>
      <c r="R153" s="88" t="s">
        <v>2156</v>
      </c>
      <c r="S153" s="428" t="s">
        <v>47</v>
      </c>
      <c r="T153" s="243" t="s">
        <v>3250</v>
      </c>
      <c r="U153" s="204"/>
      <c r="V153" s="204">
        <f>1950-1625</f>
        <v>325</v>
      </c>
      <c r="W153" s="204">
        <f>1950-1399</f>
        <v>551</v>
      </c>
      <c r="X153" s="204"/>
      <c r="Y153" s="204"/>
      <c r="Z153" s="204"/>
      <c r="AA153" s="204" t="s">
        <v>85</v>
      </c>
      <c r="AB153" s="204" t="s">
        <v>16</v>
      </c>
      <c r="AC153" s="204">
        <v>3</v>
      </c>
      <c r="AD153" s="208" t="s">
        <v>3251</v>
      </c>
      <c r="AE153" s="208" t="s">
        <v>3247</v>
      </c>
      <c r="AF153" s="208" t="s">
        <v>37</v>
      </c>
      <c r="AG153" s="756">
        <v>44137</v>
      </c>
      <c r="AH153" s="208"/>
      <c r="AI153" s="204"/>
      <c r="AJ153" s="1109"/>
    </row>
    <row r="154" spans="1:36" s="135" customFormat="1" ht="51.75" x14ac:dyDescent="0.25">
      <c r="A154" s="488"/>
      <c r="B154" s="131"/>
      <c r="C154" s="75"/>
      <c r="D154" s="568"/>
      <c r="E154" s="568"/>
      <c r="F154" s="118"/>
      <c r="G154" s="118"/>
      <c r="H154" s="75"/>
      <c r="I154" s="118"/>
      <c r="J154" s="121"/>
      <c r="K154" s="187">
        <v>652</v>
      </c>
      <c r="L154" s="73" t="s">
        <v>4135</v>
      </c>
      <c r="M154" s="914">
        <v>1536029.3563999999</v>
      </c>
      <c r="N154" s="914">
        <v>5311076.3863000004</v>
      </c>
      <c r="O154" s="72" t="s">
        <v>41</v>
      </c>
      <c r="P154" s="72">
        <v>4</v>
      </c>
      <c r="Q154" s="73" t="s">
        <v>2156</v>
      </c>
      <c r="R154" s="74" t="s">
        <v>2156</v>
      </c>
      <c r="S154" s="38" t="s">
        <v>47</v>
      </c>
      <c r="T154" s="39" t="s">
        <v>4137</v>
      </c>
      <c r="U154" s="151">
        <f>1950-1483</f>
        <v>467</v>
      </c>
      <c r="V154" s="151"/>
      <c r="W154" s="151"/>
      <c r="X154" s="151">
        <f>1950-1840</f>
        <v>110</v>
      </c>
      <c r="Y154" s="151"/>
      <c r="Z154" s="151"/>
      <c r="AA154" s="151" t="s">
        <v>16</v>
      </c>
      <c r="AB154" s="151" t="s">
        <v>10</v>
      </c>
      <c r="AC154" s="151">
        <v>2</v>
      </c>
      <c r="AD154" s="152" t="s">
        <v>4138</v>
      </c>
      <c r="AE154" s="152" t="s">
        <v>4139</v>
      </c>
      <c r="AF154" s="152" t="s">
        <v>37</v>
      </c>
      <c r="AG154" s="749">
        <v>44207</v>
      </c>
      <c r="AH154" s="152"/>
      <c r="AI154" s="151"/>
      <c r="AJ154" s="1112"/>
    </row>
    <row r="155" spans="1:36" s="496" customFormat="1" ht="51.75" x14ac:dyDescent="0.25">
      <c r="A155" s="488"/>
      <c r="B155" s="131"/>
      <c r="C155" s="75"/>
      <c r="D155" s="568"/>
      <c r="E155" s="568"/>
      <c r="F155" s="118"/>
      <c r="G155" s="118"/>
      <c r="H155" s="75"/>
      <c r="I155" s="118"/>
      <c r="J155" s="121"/>
      <c r="K155" s="188"/>
      <c r="L155" s="76"/>
      <c r="M155" s="915"/>
      <c r="N155" s="915"/>
      <c r="O155" s="75"/>
      <c r="P155" s="75"/>
      <c r="Q155" s="76"/>
      <c r="R155" s="77"/>
      <c r="S155" s="42" t="s">
        <v>91</v>
      </c>
      <c r="T155" s="43" t="s">
        <v>4140</v>
      </c>
      <c r="U155" s="136">
        <f>1950-1426</f>
        <v>524</v>
      </c>
      <c r="V155" s="136"/>
      <c r="W155" s="136"/>
      <c r="X155" s="136">
        <f>1950-1607</f>
        <v>343</v>
      </c>
      <c r="Y155" s="136"/>
      <c r="Z155" s="136"/>
      <c r="AA155" s="136" t="s">
        <v>16</v>
      </c>
      <c r="AB155" s="136" t="s">
        <v>10</v>
      </c>
      <c r="AC155" s="136">
        <v>2</v>
      </c>
      <c r="AD155" s="137" t="s">
        <v>4141</v>
      </c>
      <c r="AE155" s="137" t="s">
        <v>4139</v>
      </c>
      <c r="AF155" s="137" t="s">
        <v>37</v>
      </c>
      <c r="AG155" s="755">
        <v>44207</v>
      </c>
      <c r="AH155" s="137"/>
      <c r="AI155" s="136"/>
      <c r="AJ155" s="1110"/>
    </row>
    <row r="156" spans="1:36" s="496" customFormat="1" ht="64.5" x14ac:dyDescent="0.25">
      <c r="A156" s="488"/>
      <c r="B156" s="131"/>
      <c r="C156" s="75"/>
      <c r="D156" s="568"/>
      <c r="E156" s="568"/>
      <c r="F156" s="118"/>
      <c r="G156" s="118"/>
      <c r="H156" s="75"/>
      <c r="I156" s="118"/>
      <c r="J156" s="121"/>
      <c r="K156" s="188"/>
      <c r="L156" s="76"/>
      <c r="M156" s="915"/>
      <c r="N156" s="915"/>
      <c r="O156" s="75"/>
      <c r="P156" s="75"/>
      <c r="Q156" s="76"/>
      <c r="R156" s="77"/>
      <c r="S156" s="42" t="s">
        <v>92</v>
      </c>
      <c r="T156" s="43" t="s">
        <v>4142</v>
      </c>
      <c r="U156" s="136">
        <f>1950-754</f>
        <v>1196</v>
      </c>
      <c r="V156" s="136"/>
      <c r="W156" s="136"/>
      <c r="X156" s="136">
        <f>1950-1486</f>
        <v>464</v>
      </c>
      <c r="Y156" s="136"/>
      <c r="Z156" s="136"/>
      <c r="AA156" s="136" t="s">
        <v>16</v>
      </c>
      <c r="AB156" s="136" t="s">
        <v>16</v>
      </c>
      <c r="AC156" s="136">
        <v>2</v>
      </c>
      <c r="AD156" s="137" t="s">
        <v>4150</v>
      </c>
      <c r="AE156" s="137" t="s">
        <v>4139</v>
      </c>
      <c r="AF156" s="137" t="s">
        <v>37</v>
      </c>
      <c r="AG156" s="755">
        <v>44207</v>
      </c>
      <c r="AH156" s="137"/>
      <c r="AI156" s="136"/>
      <c r="AJ156" s="1110"/>
    </row>
    <row r="157" spans="1:36" s="496" customFormat="1" ht="39.75" thickBot="1" x14ac:dyDescent="0.3">
      <c r="A157" s="488"/>
      <c r="B157" s="131"/>
      <c r="C157" s="75"/>
      <c r="D157" s="568"/>
      <c r="E157" s="568"/>
      <c r="F157" s="118"/>
      <c r="G157" s="118"/>
      <c r="H157" s="75"/>
      <c r="I157" s="118"/>
      <c r="J157" s="121"/>
      <c r="K157" s="188"/>
      <c r="L157" s="76"/>
      <c r="M157" s="915"/>
      <c r="N157" s="915"/>
      <c r="O157" s="75"/>
      <c r="P157" s="75"/>
      <c r="Q157" s="76"/>
      <c r="R157" s="77"/>
      <c r="S157" s="48" t="s">
        <v>99</v>
      </c>
      <c r="T157" s="49" t="s">
        <v>4143</v>
      </c>
      <c r="U157" s="154">
        <f>1950-179</f>
        <v>1771</v>
      </c>
      <c r="V157" s="154"/>
      <c r="W157" s="154"/>
      <c r="X157" s="154">
        <f>1950-749</f>
        <v>1201</v>
      </c>
      <c r="Y157" s="154"/>
      <c r="Z157" s="154"/>
      <c r="AA157" s="154" t="s">
        <v>16</v>
      </c>
      <c r="AB157" s="154" t="s">
        <v>16</v>
      </c>
      <c r="AC157" s="154">
        <v>2</v>
      </c>
      <c r="AD157" s="155" t="s">
        <v>4144</v>
      </c>
      <c r="AE157" s="155" t="s">
        <v>4139</v>
      </c>
      <c r="AF157" s="155" t="s">
        <v>37</v>
      </c>
      <c r="AG157" s="750">
        <v>44207</v>
      </c>
      <c r="AH157" s="155"/>
      <c r="AI157" s="154"/>
      <c r="AJ157" s="1111"/>
    </row>
    <row r="158" spans="1:36" s="496" customFormat="1" ht="39" x14ac:dyDescent="0.25">
      <c r="A158" s="488"/>
      <c r="B158" s="131"/>
      <c r="C158" s="75"/>
      <c r="D158" s="568"/>
      <c r="E158" s="568"/>
      <c r="F158" s="118"/>
      <c r="G158" s="118"/>
      <c r="H158" s="75"/>
      <c r="I158" s="118"/>
      <c r="J158" s="121"/>
      <c r="K158" s="187">
        <v>653</v>
      </c>
      <c r="L158" s="73" t="s">
        <v>4136</v>
      </c>
      <c r="M158" s="914">
        <v>1536069.0260000001</v>
      </c>
      <c r="N158" s="914">
        <v>5311103.5573000005</v>
      </c>
      <c r="O158" s="72" t="s">
        <v>41</v>
      </c>
      <c r="P158" s="72">
        <v>4</v>
      </c>
      <c r="Q158" s="73" t="s">
        <v>2156</v>
      </c>
      <c r="R158" s="74" t="s">
        <v>2156</v>
      </c>
      <c r="S158" s="38" t="s">
        <v>47</v>
      </c>
      <c r="T158" s="39" t="s">
        <v>4145</v>
      </c>
      <c r="U158" s="151"/>
      <c r="V158" s="151">
        <f>1950-1843</f>
        <v>107</v>
      </c>
      <c r="W158" s="151">
        <f>1950-1517</f>
        <v>433</v>
      </c>
      <c r="X158" s="151"/>
      <c r="Y158" s="151"/>
      <c r="Z158" s="151"/>
      <c r="AA158" s="151" t="s">
        <v>16</v>
      </c>
      <c r="AB158" s="151" t="s">
        <v>10</v>
      </c>
      <c r="AC158" s="151">
        <v>2</v>
      </c>
      <c r="AD158" s="152" t="s">
        <v>4146</v>
      </c>
      <c r="AE158" s="152" t="s">
        <v>4139</v>
      </c>
      <c r="AF158" s="152" t="s">
        <v>37</v>
      </c>
      <c r="AG158" s="749">
        <v>44207</v>
      </c>
      <c r="AH158" s="152"/>
      <c r="AI158" s="151"/>
      <c r="AJ158" s="1112"/>
    </row>
    <row r="159" spans="1:36" s="496" customFormat="1" ht="39" x14ac:dyDescent="0.25">
      <c r="A159" s="488"/>
      <c r="B159" s="131"/>
      <c r="C159" s="75"/>
      <c r="D159" s="568"/>
      <c r="E159" s="568"/>
      <c r="F159" s="118"/>
      <c r="G159" s="118"/>
      <c r="H159" s="75"/>
      <c r="I159" s="118"/>
      <c r="J159" s="121"/>
      <c r="K159" s="188"/>
      <c r="L159" s="76"/>
      <c r="M159" s="915"/>
      <c r="N159" s="915"/>
      <c r="O159" s="75"/>
      <c r="P159" s="75"/>
      <c r="Q159" s="76"/>
      <c r="R159" s="77"/>
      <c r="S159" s="42" t="s">
        <v>91</v>
      </c>
      <c r="T159" s="43" t="s">
        <v>4147</v>
      </c>
      <c r="U159" s="136"/>
      <c r="V159" s="136">
        <f>1950-1596</f>
        <v>354</v>
      </c>
      <c r="W159" s="136">
        <f>1950-1453</f>
        <v>497</v>
      </c>
      <c r="X159" s="136"/>
      <c r="Y159" s="136"/>
      <c r="Z159" s="136"/>
      <c r="AA159" s="136" t="s">
        <v>16</v>
      </c>
      <c r="AB159" s="136" t="s">
        <v>16</v>
      </c>
      <c r="AC159" s="136">
        <v>2</v>
      </c>
      <c r="AD159" s="137" t="s">
        <v>4148</v>
      </c>
      <c r="AE159" s="137" t="s">
        <v>4139</v>
      </c>
      <c r="AF159" s="137" t="s">
        <v>37</v>
      </c>
      <c r="AG159" s="755">
        <v>44207</v>
      </c>
      <c r="AH159" s="137"/>
      <c r="AI159" s="136"/>
      <c r="AJ159" s="1110"/>
    </row>
    <row r="160" spans="1:36" s="496" customFormat="1" ht="64.5" x14ac:dyDescent="0.25">
      <c r="A160" s="488"/>
      <c r="B160" s="131"/>
      <c r="C160" s="75"/>
      <c r="D160" s="568"/>
      <c r="E160" s="568"/>
      <c r="F160" s="118"/>
      <c r="G160" s="118"/>
      <c r="H160" s="75"/>
      <c r="I160" s="118"/>
      <c r="J160" s="121"/>
      <c r="K160" s="188"/>
      <c r="L160" s="76"/>
      <c r="M160" s="915"/>
      <c r="N160" s="915"/>
      <c r="O160" s="75"/>
      <c r="P160" s="75"/>
      <c r="Q160" s="76"/>
      <c r="R160" s="77"/>
      <c r="S160" s="42" t="s">
        <v>92</v>
      </c>
      <c r="T160" s="43" t="s">
        <v>4149</v>
      </c>
      <c r="U160" s="136">
        <f>1950-717</f>
        <v>1233</v>
      </c>
      <c r="V160" s="136"/>
      <c r="W160" s="136"/>
      <c r="X160" s="136">
        <f>1950-945</f>
        <v>1005</v>
      </c>
      <c r="Y160" s="136"/>
      <c r="Z160" s="136"/>
      <c r="AA160" s="136" t="s">
        <v>16</v>
      </c>
      <c r="AB160" s="136" t="s">
        <v>16</v>
      </c>
      <c r="AC160" s="136">
        <v>2</v>
      </c>
      <c r="AD160" s="137" t="s">
        <v>4150</v>
      </c>
      <c r="AE160" s="137" t="s">
        <v>4139</v>
      </c>
      <c r="AF160" s="137" t="s">
        <v>37</v>
      </c>
      <c r="AG160" s="755">
        <v>44207</v>
      </c>
      <c r="AH160" s="137"/>
      <c r="AI160" s="136"/>
      <c r="AJ160" s="1110"/>
    </row>
    <row r="161" spans="1:36" s="496" customFormat="1" ht="27" thickBot="1" x14ac:dyDescent="0.3">
      <c r="A161" s="489"/>
      <c r="B161" s="133"/>
      <c r="C161" s="78"/>
      <c r="D161" s="569"/>
      <c r="E161" s="569"/>
      <c r="F161" s="119"/>
      <c r="G161" s="119"/>
      <c r="H161" s="78"/>
      <c r="I161" s="119"/>
      <c r="J161" s="429"/>
      <c r="K161" s="192"/>
      <c r="L161" s="79"/>
      <c r="M161" s="916"/>
      <c r="N161" s="916"/>
      <c r="O161" s="78"/>
      <c r="P161" s="78"/>
      <c r="Q161" s="79"/>
      <c r="R161" s="80"/>
      <c r="S161" s="48" t="s">
        <v>99</v>
      </c>
      <c r="T161" s="49" t="s">
        <v>4151</v>
      </c>
      <c r="U161" s="154">
        <f>1950-213</f>
        <v>1737</v>
      </c>
      <c r="V161" s="154"/>
      <c r="W161" s="154"/>
      <c r="X161" s="154">
        <f>1950-735</f>
        <v>1215</v>
      </c>
      <c r="Y161" s="154"/>
      <c r="Z161" s="154"/>
      <c r="AA161" s="154" t="s">
        <v>16</v>
      </c>
      <c r="AB161" s="154" t="s">
        <v>16</v>
      </c>
      <c r="AC161" s="154">
        <v>2</v>
      </c>
      <c r="AD161" s="155" t="s">
        <v>4152</v>
      </c>
      <c r="AE161" s="155" t="s">
        <v>4139</v>
      </c>
      <c r="AF161" s="155" t="s">
        <v>37</v>
      </c>
      <c r="AG161" s="750">
        <v>44207</v>
      </c>
      <c r="AH161" s="155"/>
      <c r="AI161" s="154"/>
      <c r="AJ161" s="1111"/>
    </row>
    <row r="162" spans="1:36" ht="77.25" x14ac:dyDescent="0.25">
      <c r="A162" s="736" t="s">
        <v>2272</v>
      </c>
      <c r="B162" s="516" t="s">
        <v>5010</v>
      </c>
      <c r="C162" s="27">
        <v>329</v>
      </c>
      <c r="D162" s="516" t="s">
        <v>52</v>
      </c>
      <c r="E162" s="516" t="s">
        <v>53</v>
      </c>
      <c r="F162" s="216"/>
      <c r="G162" s="216"/>
      <c r="H162" s="502"/>
      <c r="I162" s="470"/>
      <c r="J162" s="470"/>
      <c r="K162" s="490">
        <v>1215</v>
      </c>
      <c r="L162" s="58" t="s">
        <v>4998</v>
      </c>
      <c r="M162" s="935">
        <v>1750166.1081000001</v>
      </c>
      <c r="N162" s="935">
        <v>5428211.9047999997</v>
      </c>
      <c r="O162" s="491" t="s">
        <v>7038</v>
      </c>
      <c r="P162" s="491">
        <v>2</v>
      </c>
      <c r="Q162" s="58" t="s">
        <v>7039</v>
      </c>
      <c r="R162" s="718" t="s">
        <v>85</v>
      </c>
      <c r="S162" s="730" t="s">
        <v>47</v>
      </c>
      <c r="T162" s="340" t="s">
        <v>7040</v>
      </c>
      <c r="U162" s="97">
        <v>6380</v>
      </c>
      <c r="V162" s="97">
        <v>5440</v>
      </c>
      <c r="W162" s="97">
        <v>7320</v>
      </c>
      <c r="X162" s="97"/>
      <c r="Y162" s="97"/>
      <c r="Z162" s="97"/>
      <c r="AA162" s="97" t="s">
        <v>85</v>
      </c>
      <c r="AB162" s="97" t="s">
        <v>16</v>
      </c>
      <c r="AC162" s="97">
        <v>3</v>
      </c>
      <c r="AD162" s="30" t="s">
        <v>7454</v>
      </c>
      <c r="AE162" s="30" t="s">
        <v>5004</v>
      </c>
      <c r="AF162" s="30" t="s">
        <v>1380</v>
      </c>
      <c r="AG162" s="739">
        <v>44223</v>
      </c>
      <c r="AH162" s="30"/>
      <c r="AI162" s="739">
        <v>44348</v>
      </c>
      <c r="AJ162" s="728" t="s">
        <v>37</v>
      </c>
    </row>
    <row r="163" spans="1:36" ht="90.75" thickBot="1" x14ac:dyDescent="0.3">
      <c r="A163" s="790"/>
      <c r="B163" s="777"/>
      <c r="C163" s="28"/>
      <c r="D163" s="777"/>
      <c r="E163" s="777"/>
      <c r="F163" s="223"/>
      <c r="G163" s="223"/>
      <c r="H163" s="504"/>
      <c r="I163" s="471"/>
      <c r="J163" s="471"/>
      <c r="K163" s="503"/>
      <c r="L163" s="62"/>
      <c r="M163" s="936"/>
      <c r="N163" s="936"/>
      <c r="O163" s="504"/>
      <c r="P163" s="504"/>
      <c r="Q163" s="62"/>
      <c r="R163" s="725"/>
      <c r="S163" s="731" t="s">
        <v>91</v>
      </c>
      <c r="T163" s="335" t="s">
        <v>7041</v>
      </c>
      <c r="U163" s="120">
        <v>8650</v>
      </c>
      <c r="V163" s="120">
        <v>7350</v>
      </c>
      <c r="W163" s="120">
        <v>9950</v>
      </c>
      <c r="X163" s="120"/>
      <c r="Y163" s="120"/>
      <c r="Z163" s="120"/>
      <c r="AA163" s="120" t="s">
        <v>85</v>
      </c>
      <c r="AB163" s="120" t="s">
        <v>16</v>
      </c>
      <c r="AC163" s="120">
        <v>3</v>
      </c>
      <c r="AD163" s="51" t="s">
        <v>10161</v>
      </c>
      <c r="AE163" s="51" t="s">
        <v>5004</v>
      </c>
      <c r="AF163" s="51" t="s">
        <v>1380</v>
      </c>
      <c r="AG163" s="741">
        <v>44223</v>
      </c>
      <c r="AH163" s="51"/>
      <c r="AI163" s="741">
        <v>44348</v>
      </c>
      <c r="AJ163" s="727" t="s">
        <v>37</v>
      </c>
    </row>
    <row r="164" spans="1:36" ht="103.5" thickBot="1" x14ac:dyDescent="0.3">
      <c r="A164" s="341" t="s">
        <v>4776</v>
      </c>
      <c r="B164" s="181" t="s">
        <v>7665</v>
      </c>
      <c r="C164" s="125">
        <v>655</v>
      </c>
      <c r="D164" s="585" t="s">
        <v>6844</v>
      </c>
      <c r="E164" s="585"/>
      <c r="F164" s="126" t="s">
        <v>4811</v>
      </c>
      <c r="G164" s="126">
        <v>2</v>
      </c>
      <c r="H164" s="125" t="s">
        <v>85</v>
      </c>
      <c r="I164" s="355" t="s">
        <v>4812</v>
      </c>
      <c r="J164" s="247" t="s">
        <v>4810</v>
      </c>
      <c r="K164" s="89">
        <v>831</v>
      </c>
      <c r="L164" s="396" t="s">
        <v>4777</v>
      </c>
      <c r="M164" s="265">
        <v>1558704.8794</v>
      </c>
      <c r="N164" s="265">
        <v>5210302.9455000004</v>
      </c>
      <c r="O164" s="84" t="s">
        <v>41</v>
      </c>
      <c r="P164" s="84" t="s">
        <v>1454</v>
      </c>
      <c r="Q164" s="396" t="s">
        <v>2156</v>
      </c>
      <c r="R164" s="90" t="s">
        <v>2156</v>
      </c>
      <c r="S164" s="428" t="s">
        <v>47</v>
      </c>
      <c r="T164" s="243" t="s">
        <v>4813</v>
      </c>
      <c r="U164" s="86"/>
      <c r="V164" s="86"/>
      <c r="W164" s="86"/>
      <c r="X164" s="86">
        <v>4805</v>
      </c>
      <c r="Y164" s="86">
        <f>4805-505</f>
        <v>4300</v>
      </c>
      <c r="Z164" s="86">
        <f>4805+505</f>
        <v>5310</v>
      </c>
      <c r="AA164" s="86" t="s">
        <v>85</v>
      </c>
      <c r="AB164" s="86" t="s">
        <v>16</v>
      </c>
      <c r="AC164" s="86">
        <v>3</v>
      </c>
      <c r="AD164" s="92" t="s">
        <v>4780</v>
      </c>
      <c r="AE164" s="92" t="s">
        <v>4779</v>
      </c>
      <c r="AF164" s="92" t="s">
        <v>37</v>
      </c>
      <c r="AG164" s="743">
        <v>44228</v>
      </c>
      <c r="AH164" s="92"/>
      <c r="AI164" s="86"/>
      <c r="AJ164" s="1108"/>
    </row>
    <row r="165" spans="1:36" ht="27" thickBot="1" x14ac:dyDescent="0.3">
      <c r="A165" s="339"/>
      <c r="B165" s="116"/>
      <c r="C165" s="95"/>
      <c r="D165" s="567"/>
      <c r="E165" s="567"/>
      <c r="F165" s="108"/>
      <c r="G165" s="108"/>
      <c r="H165" s="95"/>
      <c r="I165" s="108"/>
      <c r="J165" s="122"/>
      <c r="K165" s="89">
        <v>832</v>
      </c>
      <c r="L165" s="396" t="s">
        <v>4781</v>
      </c>
      <c r="M165" s="265">
        <v>1557741.0830999999</v>
      </c>
      <c r="N165" s="265">
        <v>5210288.1020999998</v>
      </c>
      <c r="O165" s="84" t="s">
        <v>41</v>
      </c>
      <c r="P165" s="84">
        <v>1</v>
      </c>
      <c r="Q165" s="396" t="s">
        <v>2156</v>
      </c>
      <c r="R165" s="90" t="s">
        <v>2156</v>
      </c>
      <c r="S165" s="428" t="s">
        <v>91</v>
      </c>
      <c r="T165" s="243" t="s">
        <v>4808</v>
      </c>
      <c r="U165" s="86">
        <v>20000</v>
      </c>
      <c r="V165" s="86"/>
      <c r="W165" s="86"/>
      <c r="X165" s="86">
        <v>12000</v>
      </c>
      <c r="Y165" s="86"/>
      <c r="Z165" s="86"/>
      <c r="AA165" s="86" t="s">
        <v>85</v>
      </c>
      <c r="AB165" s="86" t="s">
        <v>85</v>
      </c>
      <c r="AC165" s="86">
        <v>3</v>
      </c>
      <c r="AD165" s="92" t="s">
        <v>4809</v>
      </c>
      <c r="AE165" s="92" t="s">
        <v>4810</v>
      </c>
      <c r="AF165" s="92" t="s">
        <v>37</v>
      </c>
      <c r="AG165" s="743">
        <v>44228</v>
      </c>
      <c r="AH165" s="92"/>
      <c r="AI165" s="86"/>
      <c r="AJ165" s="1108"/>
    </row>
    <row r="166" spans="1:36" ht="27" thickBot="1" x14ac:dyDescent="0.3">
      <c r="A166" s="339"/>
      <c r="B166" s="116"/>
      <c r="C166" s="95"/>
      <c r="D166" s="567"/>
      <c r="E166" s="567"/>
      <c r="F166" s="108"/>
      <c r="G166" s="108"/>
      <c r="H166" s="95"/>
      <c r="I166" s="108"/>
      <c r="J166" s="122"/>
      <c r="K166" s="89">
        <v>833</v>
      </c>
      <c r="L166" s="396" t="s">
        <v>4782</v>
      </c>
      <c r="M166" s="265">
        <v>1558270.1921000001</v>
      </c>
      <c r="N166" s="265">
        <v>5210338.1270000003</v>
      </c>
      <c r="O166" s="84" t="s">
        <v>41</v>
      </c>
      <c r="P166" s="84">
        <v>1</v>
      </c>
      <c r="Q166" s="396" t="s">
        <v>2156</v>
      </c>
      <c r="R166" s="90" t="s">
        <v>2156</v>
      </c>
      <c r="S166" s="428" t="s">
        <v>91</v>
      </c>
      <c r="T166" s="243" t="s">
        <v>4808</v>
      </c>
      <c r="U166" s="86">
        <v>20000</v>
      </c>
      <c r="V166" s="86"/>
      <c r="W166" s="86"/>
      <c r="X166" s="86">
        <v>12000</v>
      </c>
      <c r="Y166" s="86"/>
      <c r="Z166" s="86"/>
      <c r="AA166" s="86" t="s">
        <v>85</v>
      </c>
      <c r="AB166" s="86" t="s">
        <v>85</v>
      </c>
      <c r="AC166" s="86">
        <v>3</v>
      </c>
      <c r="AD166" s="92" t="s">
        <v>4809</v>
      </c>
      <c r="AE166" s="92" t="s">
        <v>4810</v>
      </c>
      <c r="AF166" s="92" t="s">
        <v>37</v>
      </c>
      <c r="AG166" s="743">
        <v>44228</v>
      </c>
      <c r="AH166" s="92"/>
      <c r="AI166" s="86"/>
      <c r="AJ166" s="1108"/>
    </row>
    <row r="167" spans="1:36" ht="27" thickBot="1" x14ac:dyDescent="0.3">
      <c r="A167" s="336"/>
      <c r="B167" s="196"/>
      <c r="C167" s="96"/>
      <c r="D167" s="566"/>
      <c r="E167" s="566"/>
      <c r="F167" s="107"/>
      <c r="G167" s="107"/>
      <c r="H167" s="96"/>
      <c r="I167" s="107"/>
      <c r="J167" s="123"/>
      <c r="K167" s="190">
        <v>834</v>
      </c>
      <c r="L167" s="357" t="s">
        <v>4783</v>
      </c>
      <c r="M167" s="912">
        <v>1558752.0273</v>
      </c>
      <c r="N167" s="912">
        <v>5210290.8992999997</v>
      </c>
      <c r="O167" s="96" t="s">
        <v>41</v>
      </c>
      <c r="P167" s="96">
        <v>1</v>
      </c>
      <c r="Q167" s="357" t="s">
        <v>2156</v>
      </c>
      <c r="R167" s="96" t="s">
        <v>2156</v>
      </c>
      <c r="S167" s="48" t="s">
        <v>91</v>
      </c>
      <c r="T167" s="49" t="s">
        <v>4808</v>
      </c>
      <c r="U167" s="25">
        <v>20000</v>
      </c>
      <c r="V167" s="25"/>
      <c r="W167" s="25"/>
      <c r="X167" s="25">
        <v>12000</v>
      </c>
      <c r="Y167" s="25"/>
      <c r="Z167" s="25"/>
      <c r="AA167" s="25" t="s">
        <v>85</v>
      </c>
      <c r="AB167" s="25" t="s">
        <v>85</v>
      </c>
      <c r="AC167" s="25">
        <v>3</v>
      </c>
      <c r="AD167" s="52" t="s">
        <v>4809</v>
      </c>
      <c r="AE167" s="52" t="s">
        <v>4810</v>
      </c>
      <c r="AF167" s="52" t="s">
        <v>37</v>
      </c>
      <c r="AG167" s="745">
        <v>44228</v>
      </c>
      <c r="AH167" s="52"/>
      <c r="AI167" s="25"/>
      <c r="AJ167" s="653"/>
    </row>
    <row r="168" spans="1:36" ht="52.5" thickBot="1" x14ac:dyDescent="0.3">
      <c r="A168" s="818" t="s">
        <v>2093</v>
      </c>
      <c r="B168" s="1113" t="s">
        <v>2093</v>
      </c>
      <c r="C168" s="689">
        <v>722</v>
      </c>
      <c r="D168" s="779" t="s">
        <v>52</v>
      </c>
      <c r="E168" s="779" t="s">
        <v>53</v>
      </c>
      <c r="F168" s="692"/>
      <c r="G168" s="692"/>
      <c r="H168" s="689"/>
      <c r="I168" s="692"/>
      <c r="J168" s="1123"/>
      <c r="K168" s="688">
        <v>4095</v>
      </c>
      <c r="L168" s="690" t="s">
        <v>6773</v>
      </c>
      <c r="M168" s="973">
        <v>1390537.7896819999</v>
      </c>
      <c r="N168" s="973">
        <v>5049812.3208179995</v>
      </c>
      <c r="O168" s="689"/>
      <c r="P168" s="689" t="s">
        <v>6752</v>
      </c>
      <c r="Q168" s="690"/>
      <c r="R168" s="691"/>
      <c r="S168" s="683" t="s">
        <v>47</v>
      </c>
      <c r="T168" s="329" t="s">
        <v>6774</v>
      </c>
      <c r="U168" s="86">
        <v>9400</v>
      </c>
      <c r="V168" s="86">
        <v>7500</v>
      </c>
      <c r="W168" s="86">
        <v>10700</v>
      </c>
      <c r="X168" s="86">
        <v>4800</v>
      </c>
      <c r="Y168" s="86">
        <v>3000</v>
      </c>
      <c r="Z168" s="86">
        <v>6600</v>
      </c>
      <c r="AA168" s="86" t="s">
        <v>16</v>
      </c>
      <c r="AB168" s="86" t="s">
        <v>16</v>
      </c>
      <c r="AC168" s="86">
        <v>2</v>
      </c>
      <c r="AD168" s="92" t="s">
        <v>6775</v>
      </c>
      <c r="AE168" s="92" t="s">
        <v>2061</v>
      </c>
      <c r="AF168" s="92" t="s">
        <v>6372</v>
      </c>
      <c r="AG168" s="743">
        <v>44305</v>
      </c>
      <c r="AH168" s="92"/>
      <c r="AI168" s="743">
        <v>44326</v>
      </c>
      <c r="AJ168" s="1108" t="s">
        <v>37</v>
      </c>
    </row>
    <row r="169" spans="1:36" ht="51.75" x14ac:dyDescent="0.25">
      <c r="A169" s="341" t="s">
        <v>1441</v>
      </c>
      <c r="B169" s="181" t="s">
        <v>6800</v>
      </c>
      <c r="C169" s="125">
        <v>540</v>
      </c>
      <c r="D169" s="181" t="s">
        <v>53</v>
      </c>
      <c r="E169" s="181" t="s">
        <v>52</v>
      </c>
      <c r="F169" s="126"/>
      <c r="G169" s="126"/>
      <c r="H169" s="125"/>
      <c r="I169" s="126"/>
      <c r="J169" s="247"/>
      <c r="K169" s="189">
        <v>530</v>
      </c>
      <c r="L169" s="355" t="s">
        <v>3637</v>
      </c>
      <c r="M169" s="911">
        <v>1681610.6924000001</v>
      </c>
      <c r="N169" s="911">
        <v>5387417.5199999996</v>
      </c>
      <c r="O169" s="125" t="s">
        <v>3433</v>
      </c>
      <c r="P169" s="125">
        <v>6</v>
      </c>
      <c r="Q169" s="355" t="s">
        <v>3437</v>
      </c>
      <c r="R169" s="134" t="s">
        <v>16</v>
      </c>
      <c r="S169" s="38" t="s">
        <v>47</v>
      </c>
      <c r="T169" s="39" t="s">
        <v>3422</v>
      </c>
      <c r="U169" s="31">
        <f>1950-1848</f>
        <v>102</v>
      </c>
      <c r="V169" s="31"/>
      <c r="W169" s="31"/>
      <c r="X169" s="31"/>
      <c r="Y169" s="31"/>
      <c r="Z169" s="31"/>
      <c r="AA169" s="31" t="s">
        <v>10</v>
      </c>
      <c r="AB169" s="31" t="s">
        <v>10</v>
      </c>
      <c r="AC169" s="31">
        <v>1</v>
      </c>
      <c r="AD169" s="40" t="s">
        <v>3442</v>
      </c>
      <c r="AE169" s="40" t="s">
        <v>7889</v>
      </c>
      <c r="AF169" s="40" t="s">
        <v>37</v>
      </c>
      <c r="AG169" s="744">
        <v>44146</v>
      </c>
      <c r="AH169" s="40"/>
      <c r="AI169" s="31"/>
      <c r="AJ169" s="652"/>
    </row>
    <row r="170" spans="1:36" ht="64.5" x14ac:dyDescent="0.25">
      <c r="A170" s="339"/>
      <c r="B170" s="116"/>
      <c r="C170" s="95"/>
      <c r="D170" s="567"/>
      <c r="E170" s="567"/>
      <c r="F170" s="108"/>
      <c r="G170" s="108"/>
      <c r="H170" s="95"/>
      <c r="I170" s="108"/>
      <c r="J170" s="122"/>
      <c r="K170" s="191"/>
      <c r="L170" s="359"/>
      <c r="M170" s="913"/>
      <c r="N170" s="913"/>
      <c r="O170" s="95"/>
      <c r="P170" s="95"/>
      <c r="Q170" s="359"/>
      <c r="R170" s="98"/>
      <c r="S170" s="42" t="s">
        <v>91</v>
      </c>
      <c r="T170" s="43" t="s">
        <v>3440</v>
      </c>
      <c r="U170" s="24">
        <v>1180</v>
      </c>
      <c r="V170" s="24"/>
      <c r="W170" s="24"/>
      <c r="X170" s="24">
        <v>980</v>
      </c>
      <c r="Y170" s="24"/>
      <c r="Z170" s="24"/>
      <c r="AA170" s="24" t="s">
        <v>10</v>
      </c>
      <c r="AB170" s="24" t="s">
        <v>10</v>
      </c>
      <c r="AC170" s="24">
        <v>1</v>
      </c>
      <c r="AD170" s="46" t="s">
        <v>3441</v>
      </c>
      <c r="AE170" s="46" t="s">
        <v>7889</v>
      </c>
      <c r="AF170" s="46" t="s">
        <v>37</v>
      </c>
      <c r="AG170" s="746">
        <v>44146</v>
      </c>
      <c r="AH170" s="46"/>
      <c r="AI170" s="24"/>
      <c r="AJ170" s="1107"/>
    </row>
    <row r="171" spans="1:36" ht="51.75" x14ac:dyDescent="0.25">
      <c r="A171" s="339"/>
      <c r="B171" s="116"/>
      <c r="C171" s="95"/>
      <c r="D171" s="567"/>
      <c r="E171" s="567"/>
      <c r="F171" s="108"/>
      <c r="G171" s="108"/>
      <c r="H171" s="95"/>
      <c r="I171" s="108"/>
      <c r="J171" s="122"/>
      <c r="K171" s="191"/>
      <c r="L171" s="359"/>
      <c r="M171" s="913"/>
      <c r="N171" s="913"/>
      <c r="O171" s="95"/>
      <c r="P171" s="95"/>
      <c r="Q171" s="359"/>
      <c r="R171" s="98"/>
      <c r="S171" s="42" t="s">
        <v>92</v>
      </c>
      <c r="T171" s="43" t="s">
        <v>3439</v>
      </c>
      <c r="U171" s="24">
        <v>4000</v>
      </c>
      <c r="V171" s="24"/>
      <c r="W171" s="24"/>
      <c r="X171" s="24">
        <v>3000</v>
      </c>
      <c r="Y171" s="24"/>
      <c r="Z171" s="24"/>
      <c r="AA171" s="24" t="s">
        <v>16</v>
      </c>
      <c r="AB171" s="24" t="s">
        <v>10</v>
      </c>
      <c r="AC171" s="24">
        <v>2</v>
      </c>
      <c r="AD171" s="46" t="s">
        <v>3431</v>
      </c>
      <c r="AE171" s="46" t="s">
        <v>7889</v>
      </c>
      <c r="AF171" s="46" t="s">
        <v>37</v>
      </c>
      <c r="AG171" s="746">
        <v>44146</v>
      </c>
      <c r="AH171" s="46"/>
      <c r="AI171" s="24"/>
      <c r="AJ171" s="1107"/>
    </row>
    <row r="172" spans="1:36" ht="39" x14ac:dyDescent="0.25">
      <c r="A172" s="339"/>
      <c r="B172" s="116"/>
      <c r="C172" s="95"/>
      <c r="D172" s="567"/>
      <c r="E172" s="567"/>
      <c r="F172" s="108"/>
      <c r="G172" s="108"/>
      <c r="H172" s="95"/>
      <c r="I172" s="108"/>
      <c r="J172" s="122"/>
      <c r="K172" s="191"/>
      <c r="L172" s="359"/>
      <c r="M172" s="913"/>
      <c r="N172" s="913"/>
      <c r="O172" s="95"/>
      <c r="P172" s="95"/>
      <c r="Q172" s="359"/>
      <c r="R172" s="98"/>
      <c r="S172" s="42" t="s">
        <v>99</v>
      </c>
      <c r="T172" s="43" t="s">
        <v>3434</v>
      </c>
      <c r="U172" s="24">
        <v>6180</v>
      </c>
      <c r="V172" s="24"/>
      <c r="W172" s="24"/>
      <c r="X172" s="24">
        <v>5910</v>
      </c>
      <c r="Y172" s="24"/>
      <c r="Z172" s="24"/>
      <c r="AA172" s="24" t="s">
        <v>16</v>
      </c>
      <c r="AB172" s="24" t="s">
        <v>16</v>
      </c>
      <c r="AC172" s="24">
        <v>2</v>
      </c>
      <c r="AD172" s="46" t="s">
        <v>3432</v>
      </c>
      <c r="AE172" s="46" t="s">
        <v>7889</v>
      </c>
      <c r="AF172" s="46" t="s">
        <v>37</v>
      </c>
      <c r="AG172" s="746">
        <v>44146</v>
      </c>
      <c r="AH172" s="46"/>
      <c r="AI172" s="24"/>
      <c r="AJ172" s="1107"/>
    </row>
    <row r="173" spans="1:36" ht="51.75" x14ac:dyDescent="0.25">
      <c r="A173" s="339"/>
      <c r="B173" s="116"/>
      <c r="C173" s="95"/>
      <c r="D173" s="567"/>
      <c r="E173" s="567"/>
      <c r="F173" s="108"/>
      <c r="G173" s="108"/>
      <c r="H173" s="95"/>
      <c r="I173" s="108"/>
      <c r="J173" s="122"/>
      <c r="K173" s="191"/>
      <c r="L173" s="359"/>
      <c r="M173" s="913"/>
      <c r="N173" s="913"/>
      <c r="O173" s="95"/>
      <c r="P173" s="95"/>
      <c r="Q173" s="359"/>
      <c r="R173" s="98"/>
      <c r="S173" s="42" t="s">
        <v>100</v>
      </c>
      <c r="T173" s="43" t="s">
        <v>3435</v>
      </c>
      <c r="U173" s="24">
        <v>6790</v>
      </c>
      <c r="V173" s="24"/>
      <c r="W173" s="24"/>
      <c r="X173" s="24">
        <v>6490</v>
      </c>
      <c r="Y173" s="24"/>
      <c r="Z173" s="24"/>
      <c r="AA173" s="24" t="s">
        <v>16</v>
      </c>
      <c r="AB173" s="24" t="s">
        <v>16</v>
      </c>
      <c r="AC173" s="24">
        <v>2</v>
      </c>
      <c r="AD173" s="46" t="s">
        <v>3431</v>
      </c>
      <c r="AE173" s="46" t="s">
        <v>7889</v>
      </c>
      <c r="AF173" s="46" t="s">
        <v>37</v>
      </c>
      <c r="AG173" s="746">
        <v>44146</v>
      </c>
      <c r="AH173" s="46"/>
      <c r="AI173" s="24"/>
      <c r="AJ173" s="1107"/>
    </row>
    <row r="174" spans="1:36" ht="52.5" thickBot="1" x14ac:dyDescent="0.3">
      <c r="A174" s="339"/>
      <c r="B174" s="116"/>
      <c r="C174" s="95"/>
      <c r="D174" s="567"/>
      <c r="E174" s="567"/>
      <c r="F174" s="108"/>
      <c r="G174" s="108"/>
      <c r="H174" s="95"/>
      <c r="I174" s="108"/>
      <c r="J174" s="122"/>
      <c r="K174" s="190"/>
      <c r="L174" s="357"/>
      <c r="M174" s="912"/>
      <c r="N174" s="912"/>
      <c r="O174" s="96"/>
      <c r="P174" s="96"/>
      <c r="Q174" s="357"/>
      <c r="R174" s="100"/>
      <c r="S174" s="48" t="s">
        <v>101</v>
      </c>
      <c r="T174" s="49" t="s">
        <v>3436</v>
      </c>
      <c r="U174" s="25">
        <v>8610</v>
      </c>
      <c r="V174" s="25"/>
      <c r="W174" s="25"/>
      <c r="X174" s="25">
        <v>8330</v>
      </c>
      <c r="Y174" s="25"/>
      <c r="Z174" s="25"/>
      <c r="AA174" s="463" t="s">
        <v>16</v>
      </c>
      <c r="AB174" s="25" t="s">
        <v>16</v>
      </c>
      <c r="AC174" s="25">
        <v>2</v>
      </c>
      <c r="AD174" s="52" t="s">
        <v>3431</v>
      </c>
      <c r="AE174" s="52" t="s">
        <v>7889</v>
      </c>
      <c r="AF174" s="52" t="s">
        <v>37</v>
      </c>
      <c r="AG174" s="745">
        <v>44146</v>
      </c>
      <c r="AH174" s="52"/>
      <c r="AI174" s="25"/>
      <c r="AJ174" s="653"/>
    </row>
    <row r="175" spans="1:36" ht="39" x14ac:dyDescent="0.25">
      <c r="A175" s="339"/>
      <c r="B175" s="116"/>
      <c r="C175" s="95"/>
      <c r="D175" s="567"/>
      <c r="E175" s="567"/>
      <c r="F175" s="108"/>
      <c r="G175" s="108"/>
      <c r="H175" s="95"/>
      <c r="I175" s="108"/>
      <c r="J175" s="122"/>
      <c r="K175" s="189">
        <v>533</v>
      </c>
      <c r="L175" s="355" t="s">
        <v>3638</v>
      </c>
      <c r="M175" s="911">
        <v>1681798.9103999999</v>
      </c>
      <c r="N175" s="911">
        <v>5387523.2188999997</v>
      </c>
      <c r="O175" s="125"/>
      <c r="P175" s="125">
        <v>5</v>
      </c>
      <c r="Q175" s="355" t="s">
        <v>2156</v>
      </c>
      <c r="R175" s="134" t="s">
        <v>2156</v>
      </c>
      <c r="S175" s="38" t="s">
        <v>47</v>
      </c>
      <c r="T175" s="39" t="s">
        <v>3422</v>
      </c>
      <c r="U175" s="31">
        <v>102</v>
      </c>
      <c r="V175" s="31"/>
      <c r="W175" s="31"/>
      <c r="X175" s="31"/>
      <c r="Y175" s="31"/>
      <c r="Z175" s="31"/>
      <c r="AA175" s="31" t="s">
        <v>16</v>
      </c>
      <c r="AB175" s="31" t="s">
        <v>10</v>
      </c>
      <c r="AC175" s="31">
        <v>2</v>
      </c>
      <c r="AD175" s="40" t="s">
        <v>3643</v>
      </c>
      <c r="AE175" s="40" t="s">
        <v>7890</v>
      </c>
      <c r="AF175" s="40" t="s">
        <v>37</v>
      </c>
      <c r="AG175" s="744">
        <v>44155</v>
      </c>
      <c r="AH175" s="40"/>
      <c r="AI175" s="31"/>
      <c r="AJ175" s="652"/>
    </row>
    <row r="176" spans="1:36" ht="39" x14ac:dyDescent="0.25">
      <c r="A176" s="339"/>
      <c r="B176" s="116"/>
      <c r="C176" s="95"/>
      <c r="D176" s="567"/>
      <c r="E176" s="567"/>
      <c r="F176" s="108"/>
      <c r="G176" s="108"/>
      <c r="H176" s="95"/>
      <c r="I176" s="108"/>
      <c r="J176" s="122"/>
      <c r="K176" s="191"/>
      <c r="L176" s="359"/>
      <c r="M176" s="913"/>
      <c r="N176" s="913"/>
      <c r="O176" s="95"/>
      <c r="P176" s="95"/>
      <c r="Q176" s="359"/>
      <c r="R176" s="98"/>
      <c r="S176" s="42" t="s">
        <v>91</v>
      </c>
      <c r="T176" s="43" t="s">
        <v>3639</v>
      </c>
      <c r="U176" s="24">
        <v>1180</v>
      </c>
      <c r="V176" s="24"/>
      <c r="W176" s="24"/>
      <c r="X176" s="24">
        <v>910</v>
      </c>
      <c r="Y176" s="24"/>
      <c r="Z176" s="24"/>
      <c r="AA176" s="24" t="s">
        <v>10</v>
      </c>
      <c r="AB176" s="24" t="s">
        <v>16</v>
      </c>
      <c r="AC176" s="24">
        <v>2</v>
      </c>
      <c r="AD176" s="46" t="s">
        <v>3644</v>
      </c>
      <c r="AE176" s="46" t="s">
        <v>7890</v>
      </c>
      <c r="AF176" s="46" t="s">
        <v>37</v>
      </c>
      <c r="AG176" s="746">
        <v>44155</v>
      </c>
      <c r="AH176" s="46"/>
      <c r="AI176" s="24"/>
      <c r="AJ176" s="1107"/>
    </row>
    <row r="177" spans="1:36" ht="51.75" x14ac:dyDescent="0.25">
      <c r="A177" s="339"/>
      <c r="B177" s="116"/>
      <c r="C177" s="95"/>
      <c r="D177" s="567"/>
      <c r="E177" s="567"/>
      <c r="F177" s="108"/>
      <c r="G177" s="108"/>
      <c r="H177" s="95"/>
      <c r="I177" s="108"/>
      <c r="J177" s="122"/>
      <c r="K177" s="191"/>
      <c r="L177" s="359"/>
      <c r="M177" s="913"/>
      <c r="N177" s="913"/>
      <c r="O177" s="95"/>
      <c r="P177" s="95"/>
      <c r="Q177" s="359"/>
      <c r="R177" s="98"/>
      <c r="S177" s="42" t="s">
        <v>92</v>
      </c>
      <c r="T177" s="43" t="s">
        <v>3640</v>
      </c>
      <c r="U177" s="24">
        <v>3500</v>
      </c>
      <c r="V177" s="24"/>
      <c r="W177" s="24"/>
      <c r="X177" s="24">
        <v>2000</v>
      </c>
      <c r="Y177" s="24"/>
      <c r="Z177" s="24"/>
      <c r="AA177" s="24" t="s">
        <v>16</v>
      </c>
      <c r="AB177" s="24" t="s">
        <v>10</v>
      </c>
      <c r="AC177" s="24">
        <v>2</v>
      </c>
      <c r="AD177" s="46" t="s">
        <v>3431</v>
      </c>
      <c r="AE177" s="46" t="s">
        <v>7890</v>
      </c>
      <c r="AF177" s="46" t="s">
        <v>37</v>
      </c>
      <c r="AG177" s="746">
        <v>44155</v>
      </c>
      <c r="AH177" s="46"/>
      <c r="AI177" s="24"/>
      <c r="AJ177" s="1107"/>
    </row>
    <row r="178" spans="1:36" ht="64.5" x14ac:dyDescent="0.25">
      <c r="A178" s="339"/>
      <c r="B178" s="116"/>
      <c r="C178" s="95"/>
      <c r="D178" s="567"/>
      <c r="E178" s="567"/>
      <c r="F178" s="108"/>
      <c r="G178" s="108"/>
      <c r="H178" s="95"/>
      <c r="I178" s="108"/>
      <c r="J178" s="122"/>
      <c r="K178" s="191"/>
      <c r="L178" s="359"/>
      <c r="M178" s="913"/>
      <c r="N178" s="913"/>
      <c r="O178" s="95"/>
      <c r="P178" s="95"/>
      <c r="Q178" s="359"/>
      <c r="R178" s="98"/>
      <c r="S178" s="42" t="s">
        <v>99</v>
      </c>
      <c r="T178" s="43" t="s">
        <v>3641</v>
      </c>
      <c r="U178" s="24">
        <v>4600</v>
      </c>
      <c r="V178" s="24"/>
      <c r="W178" s="24"/>
      <c r="X178" s="24">
        <v>4000</v>
      </c>
      <c r="Y178" s="24"/>
      <c r="Z178" s="24"/>
      <c r="AA178" s="24" t="s">
        <v>16</v>
      </c>
      <c r="AB178" s="24" t="s">
        <v>10</v>
      </c>
      <c r="AC178" s="24">
        <v>2</v>
      </c>
      <c r="AD178" s="46" t="s">
        <v>3645</v>
      </c>
      <c r="AE178" s="46" t="s">
        <v>7890</v>
      </c>
      <c r="AF178" s="46" t="s">
        <v>37</v>
      </c>
      <c r="AG178" s="746">
        <v>44155</v>
      </c>
      <c r="AH178" s="46"/>
      <c r="AI178" s="24"/>
      <c r="AJ178" s="1107"/>
    </row>
    <row r="179" spans="1:36" ht="52.5" thickBot="1" x14ac:dyDescent="0.3">
      <c r="A179" s="339"/>
      <c r="B179" s="116"/>
      <c r="C179" s="95"/>
      <c r="D179" s="567"/>
      <c r="E179" s="567"/>
      <c r="F179" s="108"/>
      <c r="G179" s="108"/>
      <c r="H179" s="95"/>
      <c r="I179" s="108"/>
      <c r="J179" s="122"/>
      <c r="K179" s="190"/>
      <c r="L179" s="357"/>
      <c r="M179" s="912"/>
      <c r="N179" s="912"/>
      <c r="O179" s="96"/>
      <c r="P179" s="96"/>
      <c r="Q179" s="357"/>
      <c r="R179" s="100"/>
      <c r="S179" s="48" t="s">
        <v>100</v>
      </c>
      <c r="T179" s="49" t="s">
        <v>3642</v>
      </c>
      <c r="U179" s="25">
        <v>6300</v>
      </c>
      <c r="V179" s="25"/>
      <c r="W179" s="25"/>
      <c r="X179" s="25">
        <v>5300</v>
      </c>
      <c r="Y179" s="25"/>
      <c r="Z179" s="25"/>
      <c r="AA179" s="25" t="s">
        <v>16</v>
      </c>
      <c r="AB179" s="25" t="s">
        <v>10</v>
      </c>
      <c r="AC179" s="25">
        <v>2</v>
      </c>
      <c r="AD179" s="52" t="s">
        <v>3646</v>
      </c>
      <c r="AE179" s="52" t="s">
        <v>7890</v>
      </c>
      <c r="AF179" s="52" t="s">
        <v>37</v>
      </c>
      <c r="AG179" s="745">
        <v>44155</v>
      </c>
      <c r="AH179" s="52"/>
      <c r="AI179" s="25"/>
      <c r="AJ179" s="653"/>
    </row>
    <row r="180" spans="1:36" ht="77.25" x14ac:dyDescent="0.25">
      <c r="A180" s="339"/>
      <c r="B180" s="116"/>
      <c r="C180" s="95"/>
      <c r="D180" s="567"/>
      <c r="E180" s="567"/>
      <c r="F180" s="108"/>
      <c r="G180" s="108"/>
      <c r="H180" s="95"/>
      <c r="I180" s="108"/>
      <c r="J180" s="122"/>
      <c r="K180" s="189" t="s">
        <v>2156</v>
      </c>
      <c r="L180" s="355" t="s">
        <v>3648</v>
      </c>
      <c r="M180" s="911" t="s">
        <v>2156</v>
      </c>
      <c r="N180" s="911" t="s">
        <v>2156</v>
      </c>
      <c r="O180" s="125" t="s">
        <v>3666</v>
      </c>
      <c r="P180" s="125">
        <v>7</v>
      </c>
      <c r="Q180" s="355" t="s">
        <v>3701</v>
      </c>
      <c r="R180" s="134" t="s">
        <v>16</v>
      </c>
      <c r="S180" s="38" t="s">
        <v>47</v>
      </c>
      <c r="T180" s="39" t="s">
        <v>3422</v>
      </c>
      <c r="U180" s="31">
        <v>102</v>
      </c>
      <c r="V180" s="31"/>
      <c r="W180" s="31"/>
      <c r="X180" s="31"/>
      <c r="Y180" s="31"/>
      <c r="Z180" s="31"/>
      <c r="AA180" s="31" t="s">
        <v>10</v>
      </c>
      <c r="AB180" s="31" t="s">
        <v>10</v>
      </c>
      <c r="AC180" s="31">
        <v>1</v>
      </c>
      <c r="AD180" s="40" t="s">
        <v>3651</v>
      </c>
      <c r="AE180" s="40" t="s">
        <v>7890</v>
      </c>
      <c r="AF180" s="40" t="s">
        <v>37</v>
      </c>
      <c r="AG180" s="744">
        <v>44155</v>
      </c>
      <c r="AH180" s="40"/>
      <c r="AI180" s="31"/>
      <c r="AJ180" s="652"/>
    </row>
    <row r="181" spans="1:36" x14ac:dyDescent="0.25">
      <c r="A181" s="339"/>
      <c r="B181" s="116"/>
      <c r="C181" s="95"/>
      <c r="D181" s="567"/>
      <c r="E181" s="567"/>
      <c r="F181" s="108"/>
      <c r="G181" s="108"/>
      <c r="H181" s="95"/>
      <c r="I181" s="108"/>
      <c r="J181" s="122"/>
      <c r="K181" s="191"/>
      <c r="L181" s="359"/>
      <c r="M181" s="913"/>
      <c r="N181" s="913"/>
      <c r="O181" s="95"/>
      <c r="P181" s="95"/>
      <c r="Q181" s="359"/>
      <c r="R181" s="98"/>
      <c r="S181" s="42" t="s">
        <v>91</v>
      </c>
      <c r="T181" s="43" t="s">
        <v>3440</v>
      </c>
      <c r="U181" s="24">
        <v>1180</v>
      </c>
      <c r="V181" s="24"/>
      <c r="W181" s="24"/>
      <c r="X181" s="24">
        <v>980</v>
      </c>
      <c r="Y181" s="24"/>
      <c r="Z181" s="24"/>
      <c r="AA181" s="24" t="s">
        <v>10</v>
      </c>
      <c r="AB181" s="24" t="s">
        <v>10</v>
      </c>
      <c r="AC181" s="24">
        <v>1</v>
      </c>
      <c r="AD181" s="46" t="s">
        <v>3650</v>
      </c>
      <c r="AE181" s="46" t="s">
        <v>7890</v>
      </c>
      <c r="AF181" s="46" t="s">
        <v>37</v>
      </c>
      <c r="AG181" s="746">
        <v>44155</v>
      </c>
      <c r="AH181" s="46"/>
      <c r="AI181" s="24"/>
      <c r="AJ181" s="1107"/>
    </row>
    <row r="182" spans="1:36" x14ac:dyDescent="0.25">
      <c r="A182" s="339"/>
      <c r="B182" s="116"/>
      <c r="C182" s="95"/>
      <c r="D182" s="567"/>
      <c r="E182" s="567"/>
      <c r="F182" s="108"/>
      <c r="G182" s="108"/>
      <c r="H182" s="95"/>
      <c r="I182" s="108"/>
      <c r="J182" s="122"/>
      <c r="K182" s="191"/>
      <c r="L182" s="359"/>
      <c r="M182" s="913"/>
      <c r="N182" s="913"/>
      <c r="O182" s="95"/>
      <c r="P182" s="95"/>
      <c r="Q182" s="359"/>
      <c r="R182" s="98"/>
      <c r="S182" s="42" t="s">
        <v>92</v>
      </c>
      <c r="T182" s="43" t="s">
        <v>3649</v>
      </c>
      <c r="U182" s="24">
        <v>3500</v>
      </c>
      <c r="V182" s="24"/>
      <c r="W182" s="24"/>
      <c r="X182" s="24">
        <v>3000</v>
      </c>
      <c r="Y182" s="24"/>
      <c r="Z182" s="24"/>
      <c r="AA182" s="24" t="s">
        <v>16</v>
      </c>
      <c r="AB182" s="24" t="s">
        <v>10</v>
      </c>
      <c r="AC182" s="24">
        <v>2</v>
      </c>
      <c r="AD182" s="46" t="s">
        <v>3650</v>
      </c>
      <c r="AE182" s="46" t="s">
        <v>7890</v>
      </c>
      <c r="AF182" s="46" t="s">
        <v>37</v>
      </c>
      <c r="AG182" s="746">
        <v>44155</v>
      </c>
      <c r="AH182" s="46"/>
      <c r="AI182" s="24"/>
      <c r="AJ182" s="1107"/>
    </row>
    <row r="183" spans="1:36" x14ac:dyDescent="0.25">
      <c r="A183" s="339"/>
      <c r="B183" s="116"/>
      <c r="C183" s="95"/>
      <c r="D183" s="567"/>
      <c r="E183" s="567"/>
      <c r="F183" s="108"/>
      <c r="G183" s="108"/>
      <c r="H183" s="95"/>
      <c r="I183" s="108"/>
      <c r="J183" s="122"/>
      <c r="K183" s="191"/>
      <c r="L183" s="359"/>
      <c r="M183" s="913"/>
      <c r="N183" s="913"/>
      <c r="O183" s="95"/>
      <c r="P183" s="95"/>
      <c r="Q183" s="359"/>
      <c r="R183" s="98"/>
      <c r="S183" s="42" t="s">
        <v>99</v>
      </c>
      <c r="T183" s="43" t="s">
        <v>3641</v>
      </c>
      <c r="U183" s="24">
        <v>4600</v>
      </c>
      <c r="V183" s="24"/>
      <c r="W183" s="24"/>
      <c r="X183" s="24">
        <v>4000</v>
      </c>
      <c r="Y183" s="24"/>
      <c r="Z183" s="24"/>
      <c r="AA183" s="24" t="s">
        <v>16</v>
      </c>
      <c r="AB183" s="24" t="s">
        <v>10</v>
      </c>
      <c r="AC183" s="24">
        <v>2</v>
      </c>
      <c r="AD183" s="46" t="s">
        <v>3652</v>
      </c>
      <c r="AE183" s="46" t="s">
        <v>7890</v>
      </c>
      <c r="AF183" s="46" t="s">
        <v>37</v>
      </c>
      <c r="AG183" s="746">
        <v>44155</v>
      </c>
      <c r="AH183" s="46"/>
      <c r="AI183" s="24"/>
      <c r="AJ183" s="1107"/>
    </row>
    <row r="184" spans="1:36" x14ac:dyDescent="0.25">
      <c r="A184" s="339"/>
      <c r="B184" s="116"/>
      <c r="C184" s="95"/>
      <c r="D184" s="567"/>
      <c r="E184" s="567"/>
      <c r="F184" s="108"/>
      <c r="G184" s="108"/>
      <c r="H184" s="95"/>
      <c r="I184" s="108"/>
      <c r="J184" s="122"/>
      <c r="K184" s="191"/>
      <c r="L184" s="359"/>
      <c r="M184" s="913"/>
      <c r="N184" s="913"/>
      <c r="O184" s="95"/>
      <c r="P184" s="95"/>
      <c r="Q184" s="359"/>
      <c r="R184" s="98"/>
      <c r="S184" s="42" t="s">
        <v>100</v>
      </c>
      <c r="T184" s="43" t="s">
        <v>3434</v>
      </c>
      <c r="U184" s="24">
        <v>6180</v>
      </c>
      <c r="V184" s="24"/>
      <c r="W184" s="24"/>
      <c r="X184" s="24">
        <v>5910</v>
      </c>
      <c r="Y184" s="24"/>
      <c r="Z184" s="24"/>
      <c r="AA184" s="24" t="s">
        <v>16</v>
      </c>
      <c r="AB184" s="24" t="s">
        <v>16</v>
      </c>
      <c r="AC184" s="24">
        <v>2</v>
      </c>
      <c r="AD184" s="46" t="s">
        <v>3650</v>
      </c>
      <c r="AE184" s="46" t="s">
        <v>7890</v>
      </c>
      <c r="AF184" s="46" t="s">
        <v>37</v>
      </c>
      <c r="AG184" s="746">
        <v>44155</v>
      </c>
      <c r="AH184" s="46"/>
      <c r="AI184" s="24"/>
      <c r="AJ184" s="1107"/>
    </row>
    <row r="185" spans="1:36" ht="26.25" x14ac:dyDescent="0.25">
      <c r="A185" s="339"/>
      <c r="B185" s="116"/>
      <c r="C185" s="95"/>
      <c r="D185" s="567"/>
      <c r="E185" s="567"/>
      <c r="F185" s="108"/>
      <c r="G185" s="108"/>
      <c r="H185" s="95"/>
      <c r="I185" s="108"/>
      <c r="J185" s="122"/>
      <c r="K185" s="191"/>
      <c r="L185" s="359"/>
      <c r="M185" s="913"/>
      <c r="N185" s="913"/>
      <c r="O185" s="95"/>
      <c r="P185" s="95"/>
      <c r="Q185" s="359"/>
      <c r="R185" s="98"/>
      <c r="S185" s="42" t="s">
        <v>101</v>
      </c>
      <c r="T185" s="43" t="s">
        <v>3435</v>
      </c>
      <c r="U185" s="24">
        <v>6490</v>
      </c>
      <c r="V185" s="24"/>
      <c r="W185" s="24"/>
      <c r="X185" s="24">
        <v>6490</v>
      </c>
      <c r="Y185" s="24"/>
      <c r="Z185" s="24"/>
      <c r="AA185" s="24" t="s">
        <v>16</v>
      </c>
      <c r="AB185" s="24" t="s">
        <v>10</v>
      </c>
      <c r="AC185" s="24">
        <v>2</v>
      </c>
      <c r="AD185" s="46" t="s">
        <v>3653</v>
      </c>
      <c r="AE185" s="46" t="s">
        <v>7890</v>
      </c>
      <c r="AF185" s="46" t="s">
        <v>37</v>
      </c>
      <c r="AG185" s="746">
        <v>44155</v>
      </c>
      <c r="AH185" s="46"/>
      <c r="AI185" s="24"/>
      <c r="AJ185" s="1107"/>
    </row>
    <row r="186" spans="1:36" ht="27" thickBot="1" x14ac:dyDescent="0.3">
      <c r="A186" s="339"/>
      <c r="B186" s="116"/>
      <c r="C186" s="95"/>
      <c r="D186" s="567"/>
      <c r="E186" s="567"/>
      <c r="F186" s="108"/>
      <c r="G186" s="108"/>
      <c r="H186" s="95"/>
      <c r="I186" s="108"/>
      <c r="J186" s="122"/>
      <c r="K186" s="190"/>
      <c r="L186" s="357"/>
      <c r="M186" s="912"/>
      <c r="N186" s="912"/>
      <c r="O186" s="96"/>
      <c r="P186" s="96"/>
      <c r="Q186" s="357"/>
      <c r="R186" s="100"/>
      <c r="S186" s="48" t="s">
        <v>102</v>
      </c>
      <c r="T186" s="49" t="s">
        <v>3436</v>
      </c>
      <c r="U186" s="25">
        <v>8610</v>
      </c>
      <c r="V186" s="25"/>
      <c r="W186" s="25"/>
      <c r="X186" s="25">
        <v>8330</v>
      </c>
      <c r="Y186" s="25"/>
      <c r="Z186" s="25"/>
      <c r="AA186" s="25" t="s">
        <v>16</v>
      </c>
      <c r="AB186" s="25" t="s">
        <v>10</v>
      </c>
      <c r="AC186" s="25">
        <v>2</v>
      </c>
      <c r="AD186" s="52" t="s">
        <v>3653</v>
      </c>
      <c r="AE186" s="52" t="s">
        <v>7890</v>
      </c>
      <c r="AF186" s="52" t="s">
        <v>37</v>
      </c>
      <c r="AG186" s="745">
        <v>44155</v>
      </c>
      <c r="AH186" s="52"/>
      <c r="AI186" s="25"/>
      <c r="AJ186" s="653"/>
    </row>
    <row r="187" spans="1:36" ht="102.75" x14ac:dyDescent="0.25">
      <c r="A187" s="339"/>
      <c r="B187" s="116"/>
      <c r="C187" s="95"/>
      <c r="D187" s="567"/>
      <c r="E187" s="567"/>
      <c r="F187" s="108"/>
      <c r="G187" s="108"/>
      <c r="H187" s="95"/>
      <c r="I187" s="108"/>
      <c r="J187" s="122"/>
      <c r="K187" s="189">
        <v>534</v>
      </c>
      <c r="L187" s="355" t="s">
        <v>3673</v>
      </c>
      <c r="M187" s="911">
        <v>1681044.5379999999</v>
      </c>
      <c r="N187" s="911">
        <v>5387075.5346999997</v>
      </c>
      <c r="O187" s="125" t="s">
        <v>41</v>
      </c>
      <c r="P187" s="125">
        <v>9</v>
      </c>
      <c r="Q187" s="355" t="s">
        <v>2156</v>
      </c>
      <c r="R187" s="134" t="s">
        <v>2156</v>
      </c>
      <c r="S187" s="38" t="s">
        <v>47</v>
      </c>
      <c r="T187" s="39" t="s">
        <v>3422</v>
      </c>
      <c r="U187" s="31">
        <v>102</v>
      </c>
      <c r="V187" s="31"/>
      <c r="W187" s="31"/>
      <c r="X187" s="31"/>
      <c r="Y187" s="31"/>
      <c r="Z187" s="31"/>
      <c r="AA187" s="31" t="s">
        <v>16</v>
      </c>
      <c r="AB187" s="31" t="s">
        <v>16</v>
      </c>
      <c r="AC187" s="31">
        <v>2</v>
      </c>
      <c r="AD187" s="40" t="s">
        <v>3682</v>
      </c>
      <c r="AE187" s="40" t="s">
        <v>7890</v>
      </c>
      <c r="AF187" s="40" t="s">
        <v>37</v>
      </c>
      <c r="AG187" s="744">
        <v>44155</v>
      </c>
      <c r="AH187" s="40"/>
      <c r="AI187" s="31"/>
      <c r="AJ187" s="652"/>
    </row>
    <row r="188" spans="1:36" ht="77.25" x14ac:dyDescent="0.25">
      <c r="A188" s="339"/>
      <c r="B188" s="116"/>
      <c r="C188" s="95"/>
      <c r="D188" s="567"/>
      <c r="E188" s="567"/>
      <c r="F188" s="108"/>
      <c r="G188" s="108"/>
      <c r="H188" s="95"/>
      <c r="I188" s="108"/>
      <c r="J188" s="122"/>
      <c r="K188" s="191"/>
      <c r="L188" s="359"/>
      <c r="M188" s="913"/>
      <c r="N188" s="913"/>
      <c r="O188" s="95"/>
      <c r="P188" s="95"/>
      <c r="Q188" s="359"/>
      <c r="R188" s="98"/>
      <c r="S188" s="42" t="s">
        <v>91</v>
      </c>
      <c r="T188" s="43" t="s">
        <v>3674</v>
      </c>
      <c r="U188" s="24">
        <v>1370</v>
      </c>
      <c r="V188" s="24"/>
      <c r="W188" s="24"/>
      <c r="X188" s="24">
        <v>860</v>
      </c>
      <c r="Y188" s="24"/>
      <c r="Z188" s="24"/>
      <c r="AA188" s="24" t="s">
        <v>16</v>
      </c>
      <c r="AB188" s="24" t="s">
        <v>16</v>
      </c>
      <c r="AC188" s="24">
        <v>2</v>
      </c>
      <c r="AD188" s="46" t="s">
        <v>3683</v>
      </c>
      <c r="AE188" s="46" t="s">
        <v>7890</v>
      </c>
      <c r="AF188" s="46" t="s">
        <v>37</v>
      </c>
      <c r="AG188" s="746">
        <v>44155</v>
      </c>
      <c r="AH188" s="46"/>
      <c r="AI188" s="24"/>
      <c r="AJ188" s="1107"/>
    </row>
    <row r="189" spans="1:36" ht="77.25" x14ac:dyDescent="0.25">
      <c r="A189" s="339"/>
      <c r="B189" s="116"/>
      <c r="C189" s="95"/>
      <c r="D189" s="567"/>
      <c r="E189" s="567"/>
      <c r="F189" s="108"/>
      <c r="G189" s="108"/>
      <c r="H189" s="95"/>
      <c r="I189" s="108"/>
      <c r="J189" s="122"/>
      <c r="K189" s="191"/>
      <c r="L189" s="359"/>
      <c r="M189" s="913"/>
      <c r="N189" s="913"/>
      <c r="O189" s="95"/>
      <c r="P189" s="95"/>
      <c r="Q189" s="359"/>
      <c r="R189" s="98"/>
      <c r="S189" s="42" t="s">
        <v>92</v>
      </c>
      <c r="T189" s="43" t="s">
        <v>3675</v>
      </c>
      <c r="U189" s="24">
        <v>2670</v>
      </c>
      <c r="V189" s="24"/>
      <c r="W189" s="24"/>
      <c r="X189" s="24">
        <v>1870</v>
      </c>
      <c r="Y189" s="24"/>
      <c r="Z189" s="24"/>
      <c r="AA189" s="24" t="s">
        <v>16</v>
      </c>
      <c r="AB189" s="24" t="s">
        <v>16</v>
      </c>
      <c r="AC189" s="24">
        <v>2</v>
      </c>
      <c r="AD189" s="46" t="s">
        <v>3683</v>
      </c>
      <c r="AE189" s="46" t="s">
        <v>7890</v>
      </c>
      <c r="AF189" s="46" t="s">
        <v>37</v>
      </c>
      <c r="AG189" s="746">
        <v>44155</v>
      </c>
      <c r="AH189" s="46"/>
      <c r="AI189" s="24"/>
      <c r="AJ189" s="1107"/>
    </row>
    <row r="190" spans="1:36" ht="77.25" x14ac:dyDescent="0.25">
      <c r="A190" s="339"/>
      <c r="B190" s="116"/>
      <c r="C190" s="95"/>
      <c r="D190" s="567"/>
      <c r="E190" s="567"/>
      <c r="F190" s="108"/>
      <c r="G190" s="108"/>
      <c r="H190" s="95"/>
      <c r="I190" s="108"/>
      <c r="J190" s="122"/>
      <c r="K190" s="191"/>
      <c r="L190" s="359"/>
      <c r="M190" s="913"/>
      <c r="N190" s="913"/>
      <c r="O190" s="95"/>
      <c r="P190" s="95"/>
      <c r="Q190" s="359"/>
      <c r="R190" s="98"/>
      <c r="S190" s="42" t="s">
        <v>99</v>
      </c>
      <c r="T190" s="43" t="s">
        <v>3676</v>
      </c>
      <c r="U190" s="24">
        <v>3890</v>
      </c>
      <c r="V190" s="24"/>
      <c r="W190" s="24"/>
      <c r="X190" s="24">
        <v>3010</v>
      </c>
      <c r="Y190" s="24"/>
      <c r="Z190" s="24"/>
      <c r="AA190" s="24" t="s">
        <v>16</v>
      </c>
      <c r="AB190" s="24" t="s">
        <v>16</v>
      </c>
      <c r="AC190" s="24">
        <v>2</v>
      </c>
      <c r="AD190" s="46" t="s">
        <v>3683</v>
      </c>
      <c r="AE190" s="46" t="s">
        <v>7890</v>
      </c>
      <c r="AF190" s="46" t="s">
        <v>37</v>
      </c>
      <c r="AG190" s="746">
        <v>44155</v>
      </c>
      <c r="AH190" s="46"/>
      <c r="AI190" s="24"/>
      <c r="AJ190" s="1107"/>
    </row>
    <row r="191" spans="1:36" ht="77.25" x14ac:dyDescent="0.25">
      <c r="A191" s="339"/>
      <c r="B191" s="116"/>
      <c r="C191" s="95"/>
      <c r="D191" s="567"/>
      <c r="E191" s="567"/>
      <c r="F191" s="108"/>
      <c r="G191" s="108"/>
      <c r="H191" s="95"/>
      <c r="I191" s="108"/>
      <c r="J191" s="122"/>
      <c r="K191" s="191"/>
      <c r="L191" s="359"/>
      <c r="M191" s="913"/>
      <c r="N191" s="913"/>
      <c r="O191" s="95"/>
      <c r="P191" s="95"/>
      <c r="Q191" s="359"/>
      <c r="R191" s="98"/>
      <c r="S191" s="42" t="s">
        <v>100</v>
      </c>
      <c r="T191" s="43" t="s">
        <v>3677</v>
      </c>
      <c r="U191" s="24">
        <v>4630</v>
      </c>
      <c r="V191" s="24"/>
      <c r="W191" s="24"/>
      <c r="X191" s="24">
        <v>4191</v>
      </c>
      <c r="Y191" s="24"/>
      <c r="Z191" s="24"/>
      <c r="AA191" s="24" t="s">
        <v>16</v>
      </c>
      <c r="AB191" s="24" t="s">
        <v>16</v>
      </c>
      <c r="AC191" s="24">
        <v>2</v>
      </c>
      <c r="AD191" s="46" t="s">
        <v>3683</v>
      </c>
      <c r="AE191" s="46" t="s">
        <v>7890</v>
      </c>
      <c r="AF191" s="46" t="s">
        <v>37</v>
      </c>
      <c r="AG191" s="746">
        <v>44155</v>
      </c>
      <c r="AH191" s="46"/>
      <c r="AI191" s="24"/>
      <c r="AJ191" s="1107"/>
    </row>
    <row r="192" spans="1:36" ht="77.25" x14ac:dyDescent="0.25">
      <c r="A192" s="339"/>
      <c r="B192" s="116"/>
      <c r="C192" s="95"/>
      <c r="D192" s="567"/>
      <c r="E192" s="567"/>
      <c r="F192" s="108"/>
      <c r="G192" s="108"/>
      <c r="H192" s="95"/>
      <c r="I192" s="108"/>
      <c r="J192" s="122"/>
      <c r="K192" s="191"/>
      <c r="L192" s="359"/>
      <c r="M192" s="913"/>
      <c r="N192" s="913"/>
      <c r="O192" s="95"/>
      <c r="P192" s="95"/>
      <c r="Q192" s="359"/>
      <c r="R192" s="98"/>
      <c r="S192" s="42" t="s">
        <v>101</v>
      </c>
      <c r="T192" s="43" t="s">
        <v>3678</v>
      </c>
      <c r="U192" s="24">
        <v>5600</v>
      </c>
      <c r="V192" s="24"/>
      <c r="W192" s="24"/>
      <c r="X192" s="24">
        <v>5270</v>
      </c>
      <c r="Y192" s="24"/>
      <c r="Z192" s="24"/>
      <c r="AA192" s="24" t="s">
        <v>16</v>
      </c>
      <c r="AB192" s="24" t="s">
        <v>16</v>
      </c>
      <c r="AC192" s="24">
        <v>2</v>
      </c>
      <c r="AD192" s="46" t="s">
        <v>3683</v>
      </c>
      <c r="AE192" s="46" t="s">
        <v>7890</v>
      </c>
      <c r="AF192" s="46" t="s">
        <v>37</v>
      </c>
      <c r="AG192" s="746">
        <v>44155</v>
      </c>
      <c r="AH192" s="46"/>
      <c r="AI192" s="24"/>
      <c r="AJ192" s="1107"/>
    </row>
    <row r="193" spans="1:36" ht="77.25" x14ac:dyDescent="0.25">
      <c r="A193" s="339"/>
      <c r="B193" s="116"/>
      <c r="C193" s="95"/>
      <c r="D193" s="567"/>
      <c r="E193" s="567"/>
      <c r="F193" s="108"/>
      <c r="G193" s="108"/>
      <c r="H193" s="95"/>
      <c r="I193" s="108"/>
      <c r="J193" s="122"/>
      <c r="K193" s="191"/>
      <c r="L193" s="359"/>
      <c r="M193" s="913"/>
      <c r="N193" s="913"/>
      <c r="O193" s="95"/>
      <c r="P193" s="95"/>
      <c r="Q193" s="359"/>
      <c r="R193" s="98"/>
      <c r="S193" s="42" t="s">
        <v>102</v>
      </c>
      <c r="T193" s="43" t="s">
        <v>3679</v>
      </c>
      <c r="U193" s="24">
        <v>6170</v>
      </c>
      <c r="V193" s="24"/>
      <c r="W193" s="24"/>
      <c r="X193" s="24">
        <v>5990</v>
      </c>
      <c r="Y193" s="24"/>
      <c r="Z193" s="24"/>
      <c r="AA193" s="24" t="s">
        <v>16</v>
      </c>
      <c r="AB193" s="24" t="s">
        <v>16</v>
      </c>
      <c r="AC193" s="24">
        <v>2</v>
      </c>
      <c r="AD193" s="46" t="s">
        <v>3683</v>
      </c>
      <c r="AE193" s="46" t="s">
        <v>7890</v>
      </c>
      <c r="AF193" s="46" t="s">
        <v>37</v>
      </c>
      <c r="AG193" s="746">
        <v>44155</v>
      </c>
      <c r="AH193" s="46"/>
      <c r="AI193" s="24"/>
      <c r="AJ193" s="1107"/>
    </row>
    <row r="194" spans="1:36" ht="77.25" x14ac:dyDescent="0.25">
      <c r="A194" s="339"/>
      <c r="B194" s="116"/>
      <c r="C194" s="95"/>
      <c r="D194" s="567"/>
      <c r="E194" s="567"/>
      <c r="F194" s="108"/>
      <c r="G194" s="108"/>
      <c r="H194" s="95"/>
      <c r="I194" s="108"/>
      <c r="J194" s="122"/>
      <c r="K194" s="191"/>
      <c r="L194" s="359"/>
      <c r="M194" s="913"/>
      <c r="N194" s="913"/>
      <c r="O194" s="95"/>
      <c r="P194" s="95"/>
      <c r="Q194" s="359"/>
      <c r="R194" s="98"/>
      <c r="S194" s="42" t="s">
        <v>103</v>
      </c>
      <c r="T194" s="43" t="s">
        <v>3680</v>
      </c>
      <c r="U194" s="24">
        <v>7170</v>
      </c>
      <c r="V194" s="24"/>
      <c r="W194" s="24"/>
      <c r="X194" s="24">
        <v>6960</v>
      </c>
      <c r="Y194" s="24"/>
      <c r="Z194" s="24"/>
      <c r="AA194" s="24" t="s">
        <v>16</v>
      </c>
      <c r="AB194" s="24" t="s">
        <v>16</v>
      </c>
      <c r="AC194" s="24">
        <v>2</v>
      </c>
      <c r="AD194" s="46" t="s">
        <v>3683</v>
      </c>
      <c r="AE194" s="46" t="s">
        <v>7890</v>
      </c>
      <c r="AF194" s="46" t="s">
        <v>37</v>
      </c>
      <c r="AG194" s="746">
        <v>44155</v>
      </c>
      <c r="AH194" s="46"/>
      <c r="AI194" s="24"/>
      <c r="AJ194" s="1107"/>
    </row>
    <row r="195" spans="1:36" ht="78" thickBot="1" x14ac:dyDescent="0.3">
      <c r="A195" s="339"/>
      <c r="B195" s="116"/>
      <c r="C195" s="95"/>
      <c r="D195" s="567"/>
      <c r="E195" s="567"/>
      <c r="F195" s="108"/>
      <c r="G195" s="108"/>
      <c r="H195" s="95"/>
      <c r="I195" s="108"/>
      <c r="J195" s="122"/>
      <c r="K195" s="190"/>
      <c r="L195" s="357"/>
      <c r="M195" s="912"/>
      <c r="N195" s="912"/>
      <c r="O195" s="96"/>
      <c r="P195" s="96"/>
      <c r="Q195" s="357"/>
      <c r="R195" s="100"/>
      <c r="S195" s="48" t="s">
        <v>104</v>
      </c>
      <c r="T195" s="49" t="s">
        <v>3681</v>
      </c>
      <c r="U195" s="25">
        <v>8730</v>
      </c>
      <c r="V195" s="25"/>
      <c r="W195" s="25"/>
      <c r="X195" s="25">
        <v>8300</v>
      </c>
      <c r="Y195" s="25"/>
      <c r="Z195" s="25"/>
      <c r="AA195" s="25" t="s">
        <v>16</v>
      </c>
      <c r="AB195" s="25" t="s">
        <v>16</v>
      </c>
      <c r="AC195" s="25">
        <v>2</v>
      </c>
      <c r="AD195" s="52" t="s">
        <v>3683</v>
      </c>
      <c r="AE195" s="52" t="s">
        <v>7890</v>
      </c>
      <c r="AF195" s="52" t="s">
        <v>37</v>
      </c>
      <c r="AG195" s="745">
        <v>44155</v>
      </c>
      <c r="AH195" s="52"/>
      <c r="AI195" s="25"/>
      <c r="AJ195" s="653"/>
    </row>
    <row r="196" spans="1:36" ht="102.75" x14ac:dyDescent="0.25">
      <c r="A196" s="339"/>
      <c r="B196" s="116"/>
      <c r="C196" s="95"/>
      <c r="D196" s="567"/>
      <c r="E196" s="567"/>
      <c r="F196" s="108"/>
      <c r="G196" s="108"/>
      <c r="H196" s="95"/>
      <c r="I196" s="108"/>
      <c r="J196" s="122"/>
      <c r="K196" s="189">
        <v>535</v>
      </c>
      <c r="L196" s="355" t="s">
        <v>3684</v>
      </c>
      <c r="M196" s="911">
        <v>1681236.5597999999</v>
      </c>
      <c r="N196" s="911">
        <v>5387166.6399999997</v>
      </c>
      <c r="O196" s="125" t="s">
        <v>41</v>
      </c>
      <c r="P196" s="125">
        <v>13</v>
      </c>
      <c r="Q196" s="355" t="s">
        <v>2156</v>
      </c>
      <c r="R196" s="134" t="s">
        <v>2156</v>
      </c>
      <c r="S196" s="38" t="s">
        <v>47</v>
      </c>
      <c r="T196" s="39" t="s">
        <v>3422</v>
      </c>
      <c r="U196" s="31">
        <v>102</v>
      </c>
      <c r="V196" s="31"/>
      <c r="W196" s="31"/>
      <c r="X196" s="31"/>
      <c r="Y196" s="31"/>
      <c r="Z196" s="31"/>
      <c r="AA196" s="31" t="s">
        <v>16</v>
      </c>
      <c r="AB196" s="31" t="s">
        <v>16</v>
      </c>
      <c r="AC196" s="31">
        <v>2</v>
      </c>
      <c r="AD196" s="40" t="s">
        <v>3697</v>
      </c>
      <c r="AE196" s="40" t="s">
        <v>7890</v>
      </c>
      <c r="AF196" s="40" t="s">
        <v>37</v>
      </c>
      <c r="AG196" s="744">
        <v>44155</v>
      </c>
      <c r="AH196" s="40"/>
      <c r="AI196" s="31"/>
      <c r="AJ196" s="652"/>
    </row>
    <row r="197" spans="1:36" ht="77.25" x14ac:dyDescent="0.25">
      <c r="A197" s="339"/>
      <c r="B197" s="116"/>
      <c r="C197" s="95"/>
      <c r="D197" s="567"/>
      <c r="E197" s="567"/>
      <c r="F197" s="108"/>
      <c r="G197" s="108"/>
      <c r="H197" s="95"/>
      <c r="I197" s="108"/>
      <c r="J197" s="122"/>
      <c r="K197" s="191"/>
      <c r="L197" s="359"/>
      <c r="M197" s="913"/>
      <c r="N197" s="913"/>
      <c r="O197" s="95"/>
      <c r="P197" s="95"/>
      <c r="Q197" s="359"/>
      <c r="R197" s="98"/>
      <c r="S197" s="42" t="s">
        <v>91</v>
      </c>
      <c r="T197" s="43" t="s">
        <v>3685</v>
      </c>
      <c r="U197" s="24">
        <v>1580</v>
      </c>
      <c r="V197" s="24"/>
      <c r="W197" s="24"/>
      <c r="X197" s="24">
        <v>1140</v>
      </c>
      <c r="Y197" s="24"/>
      <c r="Z197" s="24"/>
      <c r="AA197" s="24" t="s">
        <v>16</v>
      </c>
      <c r="AB197" s="24" t="s">
        <v>16</v>
      </c>
      <c r="AC197" s="24">
        <v>2</v>
      </c>
      <c r="AD197" s="46" t="s">
        <v>3698</v>
      </c>
      <c r="AE197" s="46" t="s">
        <v>7890</v>
      </c>
      <c r="AF197" s="46" t="s">
        <v>37</v>
      </c>
      <c r="AG197" s="746">
        <v>44155</v>
      </c>
      <c r="AH197" s="46"/>
      <c r="AI197" s="24"/>
      <c r="AJ197" s="1107"/>
    </row>
    <row r="198" spans="1:36" ht="77.25" x14ac:dyDescent="0.25">
      <c r="A198" s="339"/>
      <c r="B198" s="116"/>
      <c r="C198" s="95"/>
      <c r="D198" s="567"/>
      <c r="E198" s="567"/>
      <c r="F198" s="108"/>
      <c r="G198" s="108"/>
      <c r="H198" s="95"/>
      <c r="I198" s="108"/>
      <c r="J198" s="122"/>
      <c r="K198" s="191"/>
      <c r="L198" s="359"/>
      <c r="M198" s="913"/>
      <c r="N198" s="913"/>
      <c r="O198" s="95"/>
      <c r="P198" s="95"/>
      <c r="Q198" s="359"/>
      <c r="R198" s="98"/>
      <c r="S198" s="42" t="s">
        <v>92</v>
      </c>
      <c r="T198" s="43" t="s">
        <v>3686</v>
      </c>
      <c r="U198" s="24">
        <v>2300</v>
      </c>
      <c r="V198" s="24"/>
      <c r="W198" s="24"/>
      <c r="X198" s="24">
        <v>1830</v>
      </c>
      <c r="Y198" s="24"/>
      <c r="Z198" s="24"/>
      <c r="AA198" s="24" t="s">
        <v>16</v>
      </c>
      <c r="AB198" s="24" t="s">
        <v>16</v>
      </c>
      <c r="AC198" s="24">
        <v>2</v>
      </c>
      <c r="AD198" s="46" t="s">
        <v>3698</v>
      </c>
      <c r="AE198" s="46" t="s">
        <v>7890</v>
      </c>
      <c r="AF198" s="46" t="s">
        <v>37</v>
      </c>
      <c r="AG198" s="746">
        <v>44155</v>
      </c>
      <c r="AH198" s="46"/>
      <c r="AI198" s="24"/>
      <c r="AJ198" s="1107"/>
    </row>
    <row r="199" spans="1:36" ht="77.25" x14ac:dyDescent="0.25">
      <c r="A199" s="339"/>
      <c r="B199" s="116"/>
      <c r="C199" s="95"/>
      <c r="D199" s="567"/>
      <c r="E199" s="567"/>
      <c r="F199" s="108"/>
      <c r="G199" s="108"/>
      <c r="H199" s="95"/>
      <c r="I199" s="108"/>
      <c r="J199" s="122"/>
      <c r="K199" s="191"/>
      <c r="L199" s="359"/>
      <c r="M199" s="913"/>
      <c r="N199" s="913"/>
      <c r="O199" s="95"/>
      <c r="P199" s="95"/>
      <c r="Q199" s="359"/>
      <c r="R199" s="98"/>
      <c r="S199" s="42" t="s">
        <v>99</v>
      </c>
      <c r="T199" s="43" t="s">
        <v>3687</v>
      </c>
      <c r="U199" s="24">
        <v>4670</v>
      </c>
      <c r="V199" s="24"/>
      <c r="W199" s="24"/>
      <c r="X199" s="24">
        <v>4070</v>
      </c>
      <c r="Y199" s="24"/>
      <c r="Z199" s="24"/>
      <c r="AA199" s="24" t="s">
        <v>16</v>
      </c>
      <c r="AB199" s="24" t="s">
        <v>16</v>
      </c>
      <c r="AC199" s="24">
        <v>2</v>
      </c>
      <c r="AD199" s="46" t="s">
        <v>3698</v>
      </c>
      <c r="AE199" s="46" t="s">
        <v>7890</v>
      </c>
      <c r="AF199" s="46" t="s">
        <v>37</v>
      </c>
      <c r="AG199" s="746">
        <v>44155</v>
      </c>
      <c r="AH199" s="46"/>
      <c r="AI199" s="24"/>
      <c r="AJ199" s="1107"/>
    </row>
    <row r="200" spans="1:36" ht="77.25" x14ac:dyDescent="0.25">
      <c r="A200" s="339"/>
      <c r="B200" s="116"/>
      <c r="C200" s="95"/>
      <c r="D200" s="567"/>
      <c r="E200" s="567"/>
      <c r="F200" s="108"/>
      <c r="G200" s="108"/>
      <c r="H200" s="95"/>
      <c r="I200" s="108"/>
      <c r="J200" s="122"/>
      <c r="K200" s="191"/>
      <c r="L200" s="359"/>
      <c r="M200" s="913"/>
      <c r="N200" s="913"/>
      <c r="O200" s="95"/>
      <c r="P200" s="95"/>
      <c r="Q200" s="359"/>
      <c r="R200" s="98"/>
      <c r="S200" s="42" t="s">
        <v>100</v>
      </c>
      <c r="T200" s="43" t="s">
        <v>3688</v>
      </c>
      <c r="U200" s="24">
        <v>5670</v>
      </c>
      <c r="V200" s="24"/>
      <c r="W200" s="24"/>
      <c r="X200" s="24">
        <v>5240</v>
      </c>
      <c r="Y200" s="24"/>
      <c r="Z200" s="24"/>
      <c r="AA200" s="24" t="s">
        <v>16</v>
      </c>
      <c r="AB200" s="24" t="s">
        <v>16</v>
      </c>
      <c r="AC200" s="24">
        <v>2</v>
      </c>
      <c r="AD200" s="46" t="s">
        <v>3698</v>
      </c>
      <c r="AE200" s="46" t="s">
        <v>7890</v>
      </c>
      <c r="AF200" s="46" t="s">
        <v>37</v>
      </c>
      <c r="AG200" s="746">
        <v>44155</v>
      </c>
      <c r="AH200" s="46"/>
      <c r="AI200" s="24"/>
      <c r="AJ200" s="1107"/>
    </row>
    <row r="201" spans="1:36" ht="77.25" x14ac:dyDescent="0.25">
      <c r="A201" s="339"/>
      <c r="B201" s="116"/>
      <c r="C201" s="95"/>
      <c r="D201" s="567"/>
      <c r="E201" s="567"/>
      <c r="F201" s="108"/>
      <c r="G201" s="108"/>
      <c r="H201" s="95"/>
      <c r="I201" s="108"/>
      <c r="J201" s="122"/>
      <c r="K201" s="191"/>
      <c r="L201" s="359"/>
      <c r="M201" s="913"/>
      <c r="N201" s="913"/>
      <c r="O201" s="95"/>
      <c r="P201" s="95"/>
      <c r="Q201" s="359"/>
      <c r="R201" s="98"/>
      <c r="S201" s="42" t="s">
        <v>101</v>
      </c>
      <c r="T201" s="43" t="s">
        <v>3689</v>
      </c>
      <c r="U201" s="24">
        <v>6180</v>
      </c>
      <c r="V201" s="24"/>
      <c r="W201" s="24"/>
      <c r="X201" s="24">
        <v>5770</v>
      </c>
      <c r="Y201" s="24"/>
      <c r="Z201" s="24"/>
      <c r="AA201" s="24" t="s">
        <v>16</v>
      </c>
      <c r="AB201" s="24" t="s">
        <v>16</v>
      </c>
      <c r="AC201" s="24">
        <v>2</v>
      </c>
      <c r="AD201" s="46" t="s">
        <v>3698</v>
      </c>
      <c r="AE201" s="46" t="s">
        <v>7890</v>
      </c>
      <c r="AF201" s="46" t="s">
        <v>37</v>
      </c>
      <c r="AG201" s="746">
        <v>44155</v>
      </c>
      <c r="AH201" s="46"/>
      <c r="AI201" s="24"/>
      <c r="AJ201" s="1107"/>
    </row>
    <row r="202" spans="1:36" ht="77.25" x14ac:dyDescent="0.25">
      <c r="A202" s="339"/>
      <c r="B202" s="116"/>
      <c r="C202" s="95"/>
      <c r="D202" s="567"/>
      <c r="E202" s="567"/>
      <c r="F202" s="108"/>
      <c r="G202" s="108"/>
      <c r="H202" s="95"/>
      <c r="I202" s="108"/>
      <c r="J202" s="122"/>
      <c r="K202" s="191"/>
      <c r="L202" s="359"/>
      <c r="M202" s="913"/>
      <c r="N202" s="913"/>
      <c r="O202" s="95"/>
      <c r="P202" s="95"/>
      <c r="Q202" s="359"/>
      <c r="R202" s="98"/>
      <c r="S202" s="42" t="s">
        <v>102</v>
      </c>
      <c r="T202" s="43" t="s">
        <v>3690</v>
      </c>
      <c r="U202" s="24">
        <v>7170</v>
      </c>
      <c r="V202" s="24"/>
      <c r="W202" s="24"/>
      <c r="X202" s="24">
        <v>6840</v>
      </c>
      <c r="Y202" s="24"/>
      <c r="Z202" s="24"/>
      <c r="AA202" s="24" t="s">
        <v>16</v>
      </c>
      <c r="AB202" s="24" t="s">
        <v>16</v>
      </c>
      <c r="AC202" s="24">
        <v>2</v>
      </c>
      <c r="AD202" s="46" t="s">
        <v>3698</v>
      </c>
      <c r="AE202" s="46" t="s">
        <v>7890</v>
      </c>
      <c r="AF202" s="46" t="s">
        <v>37</v>
      </c>
      <c r="AG202" s="746">
        <v>44155</v>
      </c>
      <c r="AH202" s="46"/>
      <c r="AI202" s="24"/>
      <c r="AJ202" s="1107"/>
    </row>
    <row r="203" spans="1:36" ht="77.25" x14ac:dyDescent="0.25">
      <c r="A203" s="339"/>
      <c r="B203" s="116"/>
      <c r="C203" s="95"/>
      <c r="D203" s="567"/>
      <c r="E203" s="567"/>
      <c r="F203" s="108"/>
      <c r="G203" s="108"/>
      <c r="H203" s="95"/>
      <c r="I203" s="108"/>
      <c r="J203" s="122"/>
      <c r="K203" s="191"/>
      <c r="L203" s="359"/>
      <c r="M203" s="913"/>
      <c r="N203" s="913"/>
      <c r="O203" s="95"/>
      <c r="P203" s="95"/>
      <c r="Q203" s="359"/>
      <c r="R203" s="98"/>
      <c r="S203" s="42" t="s">
        <v>103</v>
      </c>
      <c r="T203" s="43" t="s">
        <v>3691</v>
      </c>
      <c r="U203" s="24">
        <v>9090</v>
      </c>
      <c r="V203" s="24"/>
      <c r="W203" s="24"/>
      <c r="X203" s="24">
        <v>8470</v>
      </c>
      <c r="Y203" s="24"/>
      <c r="Z203" s="24"/>
      <c r="AA203" s="24" t="s">
        <v>16</v>
      </c>
      <c r="AB203" s="24" t="s">
        <v>16</v>
      </c>
      <c r="AC203" s="24">
        <v>2</v>
      </c>
      <c r="AD203" s="46" t="s">
        <v>3698</v>
      </c>
      <c r="AE203" s="46" t="s">
        <v>7890</v>
      </c>
      <c r="AF203" s="46" t="s">
        <v>37</v>
      </c>
      <c r="AG203" s="746">
        <v>44155</v>
      </c>
      <c r="AH203" s="46"/>
      <c r="AI203" s="24"/>
      <c r="AJ203" s="1107"/>
    </row>
    <row r="204" spans="1:36" ht="77.25" x14ac:dyDescent="0.25">
      <c r="A204" s="339"/>
      <c r="B204" s="116"/>
      <c r="C204" s="95"/>
      <c r="D204" s="567"/>
      <c r="E204" s="567"/>
      <c r="F204" s="108"/>
      <c r="G204" s="108"/>
      <c r="H204" s="95"/>
      <c r="I204" s="108"/>
      <c r="J204" s="122"/>
      <c r="K204" s="191"/>
      <c r="L204" s="359"/>
      <c r="M204" s="913"/>
      <c r="N204" s="913"/>
      <c r="O204" s="95"/>
      <c r="P204" s="95"/>
      <c r="Q204" s="359"/>
      <c r="R204" s="98"/>
      <c r="S204" s="42" t="s">
        <v>104</v>
      </c>
      <c r="T204" s="43" t="s">
        <v>3692</v>
      </c>
      <c r="U204" s="24">
        <v>10220</v>
      </c>
      <c r="V204" s="24"/>
      <c r="W204" s="24"/>
      <c r="X204" s="24">
        <v>9610</v>
      </c>
      <c r="Y204" s="24"/>
      <c r="Z204" s="24"/>
      <c r="AA204" s="24" t="s">
        <v>16</v>
      </c>
      <c r="AB204" s="24" t="s">
        <v>16</v>
      </c>
      <c r="AC204" s="24">
        <v>2</v>
      </c>
      <c r="AD204" s="46" t="s">
        <v>3698</v>
      </c>
      <c r="AE204" s="46" t="s">
        <v>7890</v>
      </c>
      <c r="AF204" s="46" t="s">
        <v>37</v>
      </c>
      <c r="AG204" s="746">
        <v>44155</v>
      </c>
      <c r="AH204" s="46"/>
      <c r="AI204" s="24"/>
      <c r="AJ204" s="1107"/>
    </row>
    <row r="205" spans="1:36" ht="77.25" x14ac:dyDescent="0.25">
      <c r="A205" s="339"/>
      <c r="B205" s="116"/>
      <c r="C205" s="95"/>
      <c r="D205" s="567"/>
      <c r="E205" s="567"/>
      <c r="F205" s="108"/>
      <c r="G205" s="108"/>
      <c r="H205" s="95"/>
      <c r="I205" s="108"/>
      <c r="J205" s="122"/>
      <c r="K205" s="191"/>
      <c r="L205" s="359"/>
      <c r="M205" s="913"/>
      <c r="N205" s="913"/>
      <c r="O205" s="95"/>
      <c r="P205" s="95"/>
      <c r="Q205" s="359"/>
      <c r="R205" s="98"/>
      <c r="S205" s="42" t="s">
        <v>105</v>
      </c>
      <c r="T205" s="43" t="s">
        <v>3696</v>
      </c>
      <c r="U205" s="24">
        <v>11400</v>
      </c>
      <c r="V205" s="24"/>
      <c r="W205" s="24"/>
      <c r="X205" s="24">
        <v>10650</v>
      </c>
      <c r="Y205" s="24"/>
      <c r="Z205" s="24"/>
      <c r="AA205" s="24" t="s">
        <v>16</v>
      </c>
      <c r="AB205" s="24" t="s">
        <v>16</v>
      </c>
      <c r="AC205" s="24">
        <v>2</v>
      </c>
      <c r="AD205" s="46" t="s">
        <v>3698</v>
      </c>
      <c r="AE205" s="46" t="s">
        <v>7890</v>
      </c>
      <c r="AF205" s="46" t="s">
        <v>37</v>
      </c>
      <c r="AG205" s="746">
        <v>44155</v>
      </c>
      <c r="AH205" s="46"/>
      <c r="AI205" s="24"/>
      <c r="AJ205" s="1107"/>
    </row>
    <row r="206" spans="1:36" ht="77.25" x14ac:dyDescent="0.25">
      <c r="A206" s="339"/>
      <c r="B206" s="116"/>
      <c r="C206" s="95"/>
      <c r="D206" s="567"/>
      <c r="E206" s="567"/>
      <c r="F206" s="108"/>
      <c r="G206" s="108"/>
      <c r="H206" s="95"/>
      <c r="I206" s="108"/>
      <c r="J206" s="122"/>
      <c r="K206" s="191"/>
      <c r="L206" s="359"/>
      <c r="M206" s="913"/>
      <c r="N206" s="913"/>
      <c r="O206" s="95"/>
      <c r="P206" s="95"/>
      <c r="Q206" s="359"/>
      <c r="R206" s="98"/>
      <c r="S206" s="42" t="s">
        <v>106</v>
      </c>
      <c r="T206" s="43" t="s">
        <v>3693</v>
      </c>
      <c r="U206" s="24">
        <v>12230</v>
      </c>
      <c r="V206" s="24"/>
      <c r="W206" s="24"/>
      <c r="X206" s="24">
        <v>11420</v>
      </c>
      <c r="Y206" s="24"/>
      <c r="Z206" s="24"/>
      <c r="AA206" s="24" t="s">
        <v>16</v>
      </c>
      <c r="AB206" s="24" t="s">
        <v>16</v>
      </c>
      <c r="AC206" s="24">
        <v>2</v>
      </c>
      <c r="AD206" s="46" t="s">
        <v>3698</v>
      </c>
      <c r="AE206" s="46" t="s">
        <v>7890</v>
      </c>
      <c r="AF206" s="46" t="s">
        <v>37</v>
      </c>
      <c r="AG206" s="746">
        <v>44155</v>
      </c>
      <c r="AH206" s="46"/>
      <c r="AI206" s="24"/>
      <c r="AJ206" s="1107"/>
    </row>
    <row r="207" spans="1:36" ht="77.25" x14ac:dyDescent="0.25">
      <c r="A207" s="339"/>
      <c r="B207" s="116"/>
      <c r="C207" s="95"/>
      <c r="D207" s="567"/>
      <c r="E207" s="567"/>
      <c r="F207" s="108"/>
      <c r="G207" s="108"/>
      <c r="H207" s="95"/>
      <c r="I207" s="108"/>
      <c r="J207" s="122"/>
      <c r="K207" s="191"/>
      <c r="L207" s="359"/>
      <c r="M207" s="913"/>
      <c r="N207" s="913"/>
      <c r="O207" s="95"/>
      <c r="P207" s="95"/>
      <c r="Q207" s="359"/>
      <c r="R207" s="98"/>
      <c r="S207" s="42" t="s">
        <v>107</v>
      </c>
      <c r="T207" s="43" t="s">
        <v>3694</v>
      </c>
      <c r="U207" s="24">
        <v>13500</v>
      </c>
      <c r="V207" s="24"/>
      <c r="W207" s="24"/>
      <c r="X207" s="24">
        <v>12770</v>
      </c>
      <c r="Y207" s="24"/>
      <c r="Z207" s="24"/>
      <c r="AA207" s="24" t="s">
        <v>16</v>
      </c>
      <c r="AB207" s="24" t="s">
        <v>16</v>
      </c>
      <c r="AC207" s="24">
        <v>2</v>
      </c>
      <c r="AD207" s="46" t="s">
        <v>3698</v>
      </c>
      <c r="AE207" s="46" t="s">
        <v>7890</v>
      </c>
      <c r="AF207" s="46" t="s">
        <v>37</v>
      </c>
      <c r="AG207" s="746">
        <v>44155</v>
      </c>
      <c r="AH207" s="46"/>
      <c r="AI207" s="24"/>
      <c r="AJ207" s="1107"/>
    </row>
    <row r="208" spans="1:36" ht="78" thickBot="1" x14ac:dyDescent="0.3">
      <c r="A208" s="339"/>
      <c r="B208" s="116"/>
      <c r="C208" s="95"/>
      <c r="D208" s="567"/>
      <c r="E208" s="567"/>
      <c r="F208" s="108"/>
      <c r="G208" s="108"/>
      <c r="H208" s="95"/>
      <c r="I208" s="108"/>
      <c r="J208" s="122"/>
      <c r="K208" s="190"/>
      <c r="L208" s="357"/>
      <c r="M208" s="912"/>
      <c r="N208" s="912"/>
      <c r="O208" s="96"/>
      <c r="P208" s="96"/>
      <c r="Q208" s="357"/>
      <c r="R208" s="100"/>
      <c r="S208" s="48" t="s">
        <v>108</v>
      </c>
      <c r="T208" s="49" t="s">
        <v>3695</v>
      </c>
      <c r="U208" s="25">
        <v>14670</v>
      </c>
      <c r="V208" s="25"/>
      <c r="W208" s="25"/>
      <c r="X208" s="25">
        <v>13930</v>
      </c>
      <c r="Y208" s="25"/>
      <c r="Z208" s="25"/>
      <c r="AA208" s="25" t="s">
        <v>16</v>
      </c>
      <c r="AB208" s="25" t="s">
        <v>16</v>
      </c>
      <c r="AC208" s="25">
        <v>2</v>
      </c>
      <c r="AD208" s="52" t="s">
        <v>3698</v>
      </c>
      <c r="AE208" s="52" t="s">
        <v>7890</v>
      </c>
      <c r="AF208" s="52" t="s">
        <v>37</v>
      </c>
      <c r="AG208" s="745">
        <v>44155</v>
      </c>
      <c r="AH208" s="52"/>
      <c r="AI208" s="25"/>
      <c r="AJ208" s="653"/>
    </row>
    <row r="209" spans="1:36" ht="51.75" x14ac:dyDescent="0.25">
      <c r="A209" s="339"/>
      <c r="B209" s="116"/>
      <c r="C209" s="95"/>
      <c r="D209" s="567"/>
      <c r="E209" s="567"/>
      <c r="F209" s="108"/>
      <c r="G209" s="108"/>
      <c r="H209" s="95"/>
      <c r="I209" s="108"/>
      <c r="J209" s="122"/>
      <c r="K209" s="189" t="s">
        <v>2156</v>
      </c>
      <c r="L209" s="355" t="s">
        <v>3699</v>
      </c>
      <c r="M209" s="911" t="s">
        <v>2156</v>
      </c>
      <c r="N209" s="911" t="s">
        <v>2156</v>
      </c>
      <c r="O209" s="125" t="s">
        <v>3700</v>
      </c>
      <c r="P209" s="125">
        <v>14</v>
      </c>
      <c r="Q209" s="355" t="s">
        <v>3702</v>
      </c>
      <c r="R209" s="134" t="s">
        <v>16</v>
      </c>
      <c r="S209" s="38" t="s">
        <v>47</v>
      </c>
      <c r="T209" s="39" t="s">
        <v>3422</v>
      </c>
      <c r="U209" s="31">
        <v>102</v>
      </c>
      <c r="V209" s="31"/>
      <c r="W209" s="31"/>
      <c r="X209" s="31"/>
      <c r="Y209" s="31"/>
      <c r="Z209" s="31"/>
      <c r="AA209" s="31" t="s">
        <v>16</v>
      </c>
      <c r="AB209" s="31" t="s">
        <v>16</v>
      </c>
      <c r="AC209" s="31">
        <v>2</v>
      </c>
      <c r="AD209" s="40" t="s">
        <v>3711</v>
      </c>
      <c r="AE209" s="40" t="s">
        <v>7890</v>
      </c>
      <c r="AF209" s="40" t="s">
        <v>37</v>
      </c>
      <c r="AG209" s="744">
        <v>44155</v>
      </c>
      <c r="AH209" s="40"/>
      <c r="AI209" s="31"/>
      <c r="AJ209" s="652"/>
    </row>
    <row r="210" spans="1:36" x14ac:dyDescent="0.25">
      <c r="A210" s="339"/>
      <c r="B210" s="116"/>
      <c r="C210" s="95"/>
      <c r="D210" s="567"/>
      <c r="E210" s="567"/>
      <c r="F210" s="108"/>
      <c r="G210" s="108"/>
      <c r="H210" s="95"/>
      <c r="I210" s="108"/>
      <c r="J210" s="122"/>
      <c r="K210" s="191"/>
      <c r="L210" s="359"/>
      <c r="M210" s="913"/>
      <c r="N210" s="913"/>
      <c r="O210" s="95"/>
      <c r="P210" s="95"/>
      <c r="Q210" s="359"/>
      <c r="R210" s="98"/>
      <c r="S210" s="42" t="s">
        <v>91</v>
      </c>
      <c r="T210" s="43" t="s">
        <v>3703</v>
      </c>
      <c r="U210" s="24">
        <v>1180</v>
      </c>
      <c r="V210" s="24"/>
      <c r="W210" s="24"/>
      <c r="X210" s="24">
        <v>1140</v>
      </c>
      <c r="Y210" s="24"/>
      <c r="Z210" s="24"/>
      <c r="AA210" s="24" t="s">
        <v>16</v>
      </c>
      <c r="AB210" s="24" t="s">
        <v>16</v>
      </c>
      <c r="AC210" s="24">
        <v>2</v>
      </c>
      <c r="AD210" s="46" t="s">
        <v>3711</v>
      </c>
      <c r="AE210" s="46" t="s">
        <v>7890</v>
      </c>
      <c r="AF210" s="46" t="s">
        <v>37</v>
      </c>
      <c r="AG210" s="746">
        <v>44155</v>
      </c>
      <c r="AH210" s="46"/>
      <c r="AI210" s="24"/>
      <c r="AJ210" s="1107"/>
    </row>
    <row r="211" spans="1:36" x14ac:dyDescent="0.25">
      <c r="A211" s="339"/>
      <c r="B211" s="116"/>
      <c r="C211" s="95"/>
      <c r="D211" s="567"/>
      <c r="E211" s="567"/>
      <c r="F211" s="108"/>
      <c r="G211" s="108"/>
      <c r="H211" s="95"/>
      <c r="I211" s="108"/>
      <c r="J211" s="122"/>
      <c r="K211" s="191"/>
      <c r="L211" s="359"/>
      <c r="M211" s="913"/>
      <c r="N211" s="913"/>
      <c r="O211" s="95"/>
      <c r="P211" s="95"/>
      <c r="Q211" s="359"/>
      <c r="R211" s="98"/>
      <c r="S211" s="42" t="s">
        <v>92</v>
      </c>
      <c r="T211" s="43" t="s">
        <v>3704</v>
      </c>
      <c r="U211" s="24">
        <v>2300</v>
      </c>
      <c r="V211" s="24"/>
      <c r="W211" s="24"/>
      <c r="X211" s="24">
        <v>1920</v>
      </c>
      <c r="Y211" s="24"/>
      <c r="Z211" s="24"/>
      <c r="AA211" s="24" t="s">
        <v>16</v>
      </c>
      <c r="AB211" s="24" t="s">
        <v>16</v>
      </c>
      <c r="AC211" s="24">
        <v>2</v>
      </c>
      <c r="AD211" s="46" t="s">
        <v>3712</v>
      </c>
      <c r="AE211" s="46" t="s">
        <v>7890</v>
      </c>
      <c r="AF211" s="46" t="s">
        <v>37</v>
      </c>
      <c r="AG211" s="746">
        <v>44155</v>
      </c>
      <c r="AH211" s="46"/>
      <c r="AI211" s="24"/>
      <c r="AJ211" s="1107"/>
    </row>
    <row r="212" spans="1:36" x14ac:dyDescent="0.25">
      <c r="A212" s="339"/>
      <c r="B212" s="116"/>
      <c r="C212" s="95"/>
      <c r="D212" s="567"/>
      <c r="E212" s="567"/>
      <c r="F212" s="108"/>
      <c r="G212" s="108"/>
      <c r="H212" s="95"/>
      <c r="I212" s="108"/>
      <c r="J212" s="122"/>
      <c r="K212" s="191"/>
      <c r="L212" s="359"/>
      <c r="M212" s="913"/>
      <c r="N212" s="913"/>
      <c r="O212" s="95"/>
      <c r="P212" s="95"/>
      <c r="Q212" s="359"/>
      <c r="R212" s="98"/>
      <c r="S212" s="42" t="s">
        <v>99</v>
      </c>
      <c r="T212" s="43" t="s">
        <v>3705</v>
      </c>
      <c r="U212" s="24">
        <v>3721</v>
      </c>
      <c r="V212" s="24"/>
      <c r="W212" s="24"/>
      <c r="X212" s="24">
        <v>3140</v>
      </c>
      <c r="Y212" s="24"/>
      <c r="Z212" s="24"/>
      <c r="AA212" s="24" t="s">
        <v>16</v>
      </c>
      <c r="AB212" s="24" t="s">
        <v>16</v>
      </c>
      <c r="AC212" s="24">
        <v>2</v>
      </c>
      <c r="AD212" s="46" t="s">
        <v>3713</v>
      </c>
      <c r="AE212" s="46" t="s">
        <v>7890</v>
      </c>
      <c r="AF212" s="46" t="s">
        <v>37</v>
      </c>
      <c r="AG212" s="746">
        <v>44155</v>
      </c>
      <c r="AH212" s="46"/>
      <c r="AI212" s="24"/>
      <c r="AJ212" s="1107"/>
    </row>
    <row r="213" spans="1:36" x14ac:dyDescent="0.25">
      <c r="A213" s="339"/>
      <c r="B213" s="116"/>
      <c r="C213" s="95"/>
      <c r="D213" s="567"/>
      <c r="E213" s="567"/>
      <c r="F213" s="108"/>
      <c r="G213" s="108"/>
      <c r="H213" s="95"/>
      <c r="I213" s="108"/>
      <c r="J213" s="122"/>
      <c r="K213" s="191"/>
      <c r="L213" s="359"/>
      <c r="M213" s="913"/>
      <c r="N213" s="913"/>
      <c r="O213" s="95"/>
      <c r="P213" s="95"/>
      <c r="Q213" s="359"/>
      <c r="R213" s="98"/>
      <c r="S213" s="42" t="s">
        <v>100</v>
      </c>
      <c r="T213" s="43" t="s">
        <v>3677</v>
      </c>
      <c r="U213" s="24">
        <v>4630</v>
      </c>
      <c r="V213" s="24"/>
      <c r="W213" s="24"/>
      <c r="X213" s="24">
        <v>4191</v>
      </c>
      <c r="Y213" s="24"/>
      <c r="Z213" s="24"/>
      <c r="AA213" s="24" t="s">
        <v>16</v>
      </c>
      <c r="AB213" s="24" t="s">
        <v>16</v>
      </c>
      <c r="AC213" s="24">
        <v>2</v>
      </c>
      <c r="AD213" s="46" t="s">
        <v>3712</v>
      </c>
      <c r="AE213" s="46" t="s">
        <v>7890</v>
      </c>
      <c r="AF213" s="46" t="s">
        <v>37</v>
      </c>
      <c r="AG213" s="746">
        <v>44155</v>
      </c>
      <c r="AH213" s="46"/>
      <c r="AI213" s="24"/>
      <c r="AJ213" s="1107"/>
    </row>
    <row r="214" spans="1:36" x14ac:dyDescent="0.25">
      <c r="A214" s="339"/>
      <c r="B214" s="116"/>
      <c r="C214" s="95"/>
      <c r="D214" s="567"/>
      <c r="E214" s="567"/>
      <c r="F214" s="108"/>
      <c r="G214" s="108"/>
      <c r="H214" s="95"/>
      <c r="I214" s="108"/>
      <c r="J214" s="122"/>
      <c r="K214" s="191"/>
      <c r="L214" s="359"/>
      <c r="M214" s="913"/>
      <c r="N214" s="913"/>
      <c r="O214" s="95"/>
      <c r="P214" s="95"/>
      <c r="Q214" s="359"/>
      <c r="R214" s="98"/>
      <c r="S214" s="42" t="s">
        <v>101</v>
      </c>
      <c r="T214" s="43" t="s">
        <v>3706</v>
      </c>
      <c r="U214" s="24">
        <v>5590</v>
      </c>
      <c r="V214" s="24"/>
      <c r="W214" s="24"/>
      <c r="X214" s="24">
        <v>5240</v>
      </c>
      <c r="Y214" s="24"/>
      <c r="Z214" s="24"/>
      <c r="AA214" s="24" t="s">
        <v>16</v>
      </c>
      <c r="AB214" s="24" t="s">
        <v>16</v>
      </c>
      <c r="AC214" s="24">
        <v>2</v>
      </c>
      <c r="AD214" s="46" t="s">
        <v>3712</v>
      </c>
      <c r="AE214" s="46" t="s">
        <v>7890</v>
      </c>
      <c r="AF214" s="46" t="s">
        <v>37</v>
      </c>
      <c r="AG214" s="746">
        <v>44155</v>
      </c>
      <c r="AH214" s="46"/>
      <c r="AI214" s="24"/>
      <c r="AJ214" s="1107"/>
    </row>
    <row r="215" spans="1:36" x14ac:dyDescent="0.25">
      <c r="A215" s="339"/>
      <c r="B215" s="116"/>
      <c r="C215" s="95"/>
      <c r="D215" s="567"/>
      <c r="E215" s="567"/>
      <c r="F215" s="108"/>
      <c r="G215" s="108"/>
      <c r="H215" s="95"/>
      <c r="I215" s="108"/>
      <c r="J215" s="122"/>
      <c r="K215" s="191"/>
      <c r="L215" s="359"/>
      <c r="M215" s="913"/>
      <c r="N215" s="913"/>
      <c r="O215" s="95"/>
      <c r="P215" s="95"/>
      <c r="Q215" s="359"/>
      <c r="R215" s="98"/>
      <c r="S215" s="42" t="s">
        <v>102</v>
      </c>
      <c r="T215" s="43" t="s">
        <v>3707</v>
      </c>
      <c r="U215" s="24">
        <v>6180</v>
      </c>
      <c r="V215" s="24"/>
      <c r="W215" s="24"/>
      <c r="X215" s="24">
        <v>5990</v>
      </c>
      <c r="Y215" s="24"/>
      <c r="Z215" s="24"/>
      <c r="AA215" s="24" t="s">
        <v>16</v>
      </c>
      <c r="AB215" s="24" t="s">
        <v>16</v>
      </c>
      <c r="AC215" s="24">
        <v>2</v>
      </c>
      <c r="AD215" s="46" t="s">
        <v>3714</v>
      </c>
      <c r="AE215" s="46" t="s">
        <v>7890</v>
      </c>
      <c r="AF215" s="46" t="s">
        <v>37</v>
      </c>
      <c r="AG215" s="746">
        <v>44155</v>
      </c>
      <c r="AH215" s="46"/>
      <c r="AI215" s="24"/>
      <c r="AJ215" s="1107"/>
    </row>
    <row r="216" spans="1:36" x14ac:dyDescent="0.25">
      <c r="A216" s="339"/>
      <c r="B216" s="116"/>
      <c r="C216" s="95"/>
      <c r="D216" s="567"/>
      <c r="E216" s="567"/>
      <c r="F216" s="108"/>
      <c r="G216" s="108"/>
      <c r="H216" s="95"/>
      <c r="I216" s="108"/>
      <c r="J216" s="122"/>
      <c r="K216" s="191"/>
      <c r="L216" s="359"/>
      <c r="M216" s="913"/>
      <c r="N216" s="913"/>
      <c r="O216" s="95"/>
      <c r="P216" s="95"/>
      <c r="Q216" s="359"/>
      <c r="R216" s="98"/>
      <c r="S216" s="42" t="s">
        <v>103</v>
      </c>
      <c r="T216" s="43" t="s">
        <v>3708</v>
      </c>
      <c r="U216" s="24">
        <v>7110</v>
      </c>
      <c r="V216" s="24"/>
      <c r="W216" s="24"/>
      <c r="X216" s="24">
        <v>6490</v>
      </c>
      <c r="Y216" s="24"/>
      <c r="Z216" s="24"/>
      <c r="AA216" s="24" t="s">
        <v>16</v>
      </c>
      <c r="AB216" s="24" t="s">
        <v>16</v>
      </c>
      <c r="AC216" s="24">
        <v>2</v>
      </c>
      <c r="AD216" s="46" t="s">
        <v>3714</v>
      </c>
      <c r="AE216" s="46" t="s">
        <v>7890</v>
      </c>
      <c r="AF216" s="46" t="s">
        <v>37</v>
      </c>
      <c r="AG216" s="746">
        <v>44155</v>
      </c>
      <c r="AH216" s="46"/>
      <c r="AI216" s="24"/>
      <c r="AJ216" s="1107"/>
    </row>
    <row r="217" spans="1:36" x14ac:dyDescent="0.25">
      <c r="A217" s="339"/>
      <c r="B217" s="116"/>
      <c r="C217" s="95"/>
      <c r="D217" s="567"/>
      <c r="E217" s="567"/>
      <c r="F217" s="108"/>
      <c r="G217" s="108"/>
      <c r="H217" s="95"/>
      <c r="I217" s="108"/>
      <c r="J217" s="122"/>
      <c r="K217" s="191"/>
      <c r="L217" s="359"/>
      <c r="M217" s="913"/>
      <c r="N217" s="913"/>
      <c r="O217" s="95"/>
      <c r="P217" s="95"/>
      <c r="Q217" s="359"/>
      <c r="R217" s="98"/>
      <c r="S217" s="42" t="s">
        <v>104</v>
      </c>
      <c r="T217" s="43" t="s">
        <v>3709</v>
      </c>
      <c r="U217" s="24">
        <v>9095</v>
      </c>
      <c r="V217" s="24"/>
      <c r="W217" s="24"/>
      <c r="X217" s="24">
        <v>8300</v>
      </c>
      <c r="Y217" s="24"/>
      <c r="Z217" s="24"/>
      <c r="AA217" s="24" t="s">
        <v>16</v>
      </c>
      <c r="AB217" s="24" t="s">
        <v>16</v>
      </c>
      <c r="AC217" s="24">
        <v>2</v>
      </c>
      <c r="AD217" s="46" t="s">
        <v>3714</v>
      </c>
      <c r="AE217" s="46" t="s">
        <v>7890</v>
      </c>
      <c r="AF217" s="46" t="s">
        <v>37</v>
      </c>
      <c r="AG217" s="746">
        <v>44155</v>
      </c>
      <c r="AH217" s="46"/>
      <c r="AI217" s="24"/>
      <c r="AJ217" s="1107"/>
    </row>
    <row r="218" spans="1:36" x14ac:dyDescent="0.25">
      <c r="A218" s="339"/>
      <c r="B218" s="116"/>
      <c r="C218" s="95"/>
      <c r="D218" s="567"/>
      <c r="E218" s="567"/>
      <c r="F218" s="108"/>
      <c r="G218" s="108"/>
      <c r="H218" s="95"/>
      <c r="I218" s="108"/>
      <c r="J218" s="122"/>
      <c r="K218" s="191"/>
      <c r="L218" s="359"/>
      <c r="M218" s="913"/>
      <c r="N218" s="913"/>
      <c r="O218" s="95"/>
      <c r="P218" s="95"/>
      <c r="Q218" s="359"/>
      <c r="R218" s="98"/>
      <c r="S218" s="42" t="s">
        <v>105</v>
      </c>
      <c r="T218" s="43" t="s">
        <v>3692</v>
      </c>
      <c r="U218" s="24">
        <v>10220</v>
      </c>
      <c r="V218" s="24"/>
      <c r="W218" s="24"/>
      <c r="X218" s="24">
        <v>9610</v>
      </c>
      <c r="Y218" s="24"/>
      <c r="Z218" s="24"/>
      <c r="AA218" s="24" t="s">
        <v>16</v>
      </c>
      <c r="AB218" s="24" t="s">
        <v>16</v>
      </c>
      <c r="AC218" s="24">
        <v>2</v>
      </c>
      <c r="AD218" s="46" t="s">
        <v>3715</v>
      </c>
      <c r="AE218" s="46" t="s">
        <v>7890</v>
      </c>
      <c r="AF218" s="46" t="s">
        <v>37</v>
      </c>
      <c r="AG218" s="746">
        <v>44155</v>
      </c>
      <c r="AH218" s="46"/>
      <c r="AI218" s="24"/>
      <c r="AJ218" s="1107"/>
    </row>
    <row r="219" spans="1:36" ht="26.25" x14ac:dyDescent="0.25">
      <c r="A219" s="339"/>
      <c r="B219" s="116"/>
      <c r="C219" s="95"/>
      <c r="D219" s="567"/>
      <c r="E219" s="567"/>
      <c r="F219" s="108"/>
      <c r="G219" s="108"/>
      <c r="H219" s="95"/>
      <c r="I219" s="108"/>
      <c r="J219" s="122"/>
      <c r="K219" s="191"/>
      <c r="L219" s="359"/>
      <c r="M219" s="913"/>
      <c r="N219" s="913"/>
      <c r="O219" s="95"/>
      <c r="P219" s="95"/>
      <c r="Q219" s="359"/>
      <c r="R219" s="98"/>
      <c r="S219" s="42" t="s">
        <v>106</v>
      </c>
      <c r="T219" s="43" t="s">
        <v>3696</v>
      </c>
      <c r="U219" s="24">
        <v>11400</v>
      </c>
      <c r="V219" s="24"/>
      <c r="W219" s="24"/>
      <c r="X219" s="24">
        <v>10650</v>
      </c>
      <c r="Y219" s="24"/>
      <c r="Z219" s="24"/>
      <c r="AA219" s="24" t="s">
        <v>16</v>
      </c>
      <c r="AB219" s="24" t="s">
        <v>16</v>
      </c>
      <c r="AC219" s="24">
        <v>2</v>
      </c>
      <c r="AD219" s="46" t="s">
        <v>3715</v>
      </c>
      <c r="AE219" s="46" t="s">
        <v>7890</v>
      </c>
      <c r="AF219" s="46" t="s">
        <v>37</v>
      </c>
      <c r="AG219" s="746">
        <v>44155</v>
      </c>
      <c r="AH219" s="46"/>
      <c r="AI219" s="24"/>
      <c r="AJ219" s="1107"/>
    </row>
    <row r="220" spans="1:36" ht="26.25" x14ac:dyDescent="0.25">
      <c r="A220" s="339"/>
      <c r="B220" s="116"/>
      <c r="C220" s="95"/>
      <c r="D220" s="567"/>
      <c r="E220" s="567"/>
      <c r="F220" s="108"/>
      <c r="G220" s="108"/>
      <c r="H220" s="95"/>
      <c r="I220" s="108"/>
      <c r="J220" s="122"/>
      <c r="K220" s="191"/>
      <c r="L220" s="359"/>
      <c r="M220" s="913"/>
      <c r="N220" s="913"/>
      <c r="O220" s="95"/>
      <c r="P220" s="95"/>
      <c r="Q220" s="359"/>
      <c r="R220" s="98"/>
      <c r="S220" s="42" t="s">
        <v>107</v>
      </c>
      <c r="T220" s="43" t="s">
        <v>3693</v>
      </c>
      <c r="U220" s="24">
        <v>12230</v>
      </c>
      <c r="V220" s="24"/>
      <c r="W220" s="24"/>
      <c r="X220" s="24">
        <v>11420</v>
      </c>
      <c r="Y220" s="24"/>
      <c r="Z220" s="24"/>
      <c r="AA220" s="24" t="s">
        <v>16</v>
      </c>
      <c r="AB220" s="24" t="s">
        <v>16</v>
      </c>
      <c r="AC220" s="24">
        <v>2</v>
      </c>
      <c r="AD220" s="46" t="s">
        <v>3715</v>
      </c>
      <c r="AE220" s="46" t="s">
        <v>7890</v>
      </c>
      <c r="AF220" s="46" t="s">
        <v>37</v>
      </c>
      <c r="AG220" s="746">
        <v>44155</v>
      </c>
      <c r="AH220" s="46"/>
      <c r="AI220" s="24"/>
      <c r="AJ220" s="1107"/>
    </row>
    <row r="221" spans="1:36" ht="26.25" x14ac:dyDescent="0.25">
      <c r="A221" s="339"/>
      <c r="B221" s="116"/>
      <c r="C221" s="95"/>
      <c r="D221" s="567"/>
      <c r="E221" s="567"/>
      <c r="F221" s="108"/>
      <c r="G221" s="108"/>
      <c r="H221" s="95"/>
      <c r="I221" s="108"/>
      <c r="J221" s="122"/>
      <c r="K221" s="191"/>
      <c r="L221" s="359"/>
      <c r="M221" s="913"/>
      <c r="N221" s="913"/>
      <c r="O221" s="95"/>
      <c r="P221" s="95"/>
      <c r="Q221" s="359"/>
      <c r="R221" s="98"/>
      <c r="S221" s="42" t="s">
        <v>108</v>
      </c>
      <c r="T221" s="43" t="s">
        <v>3710</v>
      </c>
      <c r="U221" s="24">
        <v>13500</v>
      </c>
      <c r="V221" s="24"/>
      <c r="W221" s="24"/>
      <c r="X221" s="24">
        <v>12270</v>
      </c>
      <c r="Y221" s="24"/>
      <c r="Z221" s="24"/>
      <c r="AA221" s="24" t="s">
        <v>16</v>
      </c>
      <c r="AB221" s="24" t="s">
        <v>16</v>
      </c>
      <c r="AC221" s="24">
        <v>2</v>
      </c>
      <c r="AD221" s="46" t="s">
        <v>3715</v>
      </c>
      <c r="AE221" s="46" t="s">
        <v>7890</v>
      </c>
      <c r="AF221" s="46" t="s">
        <v>37</v>
      </c>
      <c r="AG221" s="746">
        <v>44155</v>
      </c>
      <c r="AH221" s="46"/>
      <c r="AI221" s="24"/>
      <c r="AJ221" s="1107"/>
    </row>
    <row r="222" spans="1:36" ht="27" thickBot="1" x14ac:dyDescent="0.3">
      <c r="A222" s="339"/>
      <c r="B222" s="116"/>
      <c r="C222" s="95"/>
      <c r="D222" s="567"/>
      <c r="E222" s="567"/>
      <c r="F222" s="108"/>
      <c r="G222" s="108"/>
      <c r="H222" s="95"/>
      <c r="I222" s="108"/>
      <c r="J222" s="122"/>
      <c r="K222" s="190"/>
      <c r="L222" s="357"/>
      <c r="M222" s="912"/>
      <c r="N222" s="912"/>
      <c r="O222" s="96"/>
      <c r="P222" s="96"/>
      <c r="Q222" s="357"/>
      <c r="R222" s="100"/>
      <c r="S222" s="48" t="s">
        <v>109</v>
      </c>
      <c r="T222" s="49" t="s">
        <v>3695</v>
      </c>
      <c r="U222" s="25">
        <v>13930</v>
      </c>
      <c r="V222" s="25"/>
      <c r="W222" s="25"/>
      <c r="X222" s="25">
        <v>13930</v>
      </c>
      <c r="Y222" s="25"/>
      <c r="Z222" s="25"/>
      <c r="AA222" s="25" t="s">
        <v>16</v>
      </c>
      <c r="AB222" s="25" t="s">
        <v>16</v>
      </c>
      <c r="AC222" s="25">
        <v>2</v>
      </c>
      <c r="AD222" s="52" t="s">
        <v>3715</v>
      </c>
      <c r="AE222" s="52" t="s">
        <v>7890</v>
      </c>
      <c r="AF222" s="52" t="s">
        <v>37</v>
      </c>
      <c r="AG222" s="745">
        <v>44155</v>
      </c>
      <c r="AH222" s="52"/>
      <c r="AI222" s="25"/>
      <c r="AJ222" s="653"/>
    </row>
    <row r="223" spans="1:36" ht="39" x14ac:dyDescent="0.25">
      <c r="A223" s="339"/>
      <c r="B223" s="116"/>
      <c r="C223" s="95"/>
      <c r="D223" s="567"/>
      <c r="E223" s="567"/>
      <c r="F223" s="108"/>
      <c r="G223" s="108"/>
      <c r="H223" s="95"/>
      <c r="I223" s="108"/>
      <c r="J223" s="122"/>
      <c r="K223" s="189">
        <v>531</v>
      </c>
      <c r="L223" s="355" t="s">
        <v>3438</v>
      </c>
      <c r="M223" s="911">
        <v>1638586.7209999999</v>
      </c>
      <c r="N223" s="911">
        <v>5355017.8866999997</v>
      </c>
      <c r="O223" s="125" t="s">
        <v>41</v>
      </c>
      <c r="P223" s="125">
        <v>6</v>
      </c>
      <c r="Q223" s="355" t="s">
        <v>2156</v>
      </c>
      <c r="R223" s="134" t="s">
        <v>2156</v>
      </c>
      <c r="S223" s="38" t="s">
        <v>47</v>
      </c>
      <c r="T223" s="39" t="s">
        <v>3422</v>
      </c>
      <c r="U223" s="31">
        <f>1950-1848</f>
        <v>102</v>
      </c>
      <c r="V223" s="31"/>
      <c r="W223" s="31"/>
      <c r="X223" s="31"/>
      <c r="Y223" s="31"/>
      <c r="Z223" s="31"/>
      <c r="AA223" s="31" t="s">
        <v>16</v>
      </c>
      <c r="AB223" s="31" t="s">
        <v>16</v>
      </c>
      <c r="AC223" s="31">
        <v>2</v>
      </c>
      <c r="AD223" s="40" t="s">
        <v>3451</v>
      </c>
      <c r="AE223" s="40" t="s">
        <v>3453</v>
      </c>
      <c r="AF223" s="40" t="s">
        <v>37</v>
      </c>
      <c r="AG223" s="744">
        <v>44146</v>
      </c>
      <c r="AH223" s="40"/>
      <c r="AI223" s="31"/>
      <c r="AJ223" s="652"/>
    </row>
    <row r="224" spans="1:36" ht="64.5" x14ac:dyDescent="0.25">
      <c r="A224" s="339"/>
      <c r="B224" s="116"/>
      <c r="C224" s="95"/>
      <c r="D224" s="567"/>
      <c r="E224" s="567"/>
      <c r="F224" s="108"/>
      <c r="G224" s="108"/>
      <c r="H224" s="95"/>
      <c r="I224" s="108"/>
      <c r="J224" s="122"/>
      <c r="K224" s="191"/>
      <c r="L224" s="359"/>
      <c r="M224" s="913"/>
      <c r="N224" s="913"/>
      <c r="O224" s="95"/>
      <c r="P224" s="95"/>
      <c r="Q224" s="359"/>
      <c r="R224" s="98"/>
      <c r="S224" s="42" t="s">
        <v>91</v>
      </c>
      <c r="T224" s="43" t="s">
        <v>3443</v>
      </c>
      <c r="U224" s="24">
        <v>1260</v>
      </c>
      <c r="V224" s="24"/>
      <c r="W224" s="24"/>
      <c r="X224" s="24">
        <v>960</v>
      </c>
      <c r="Y224" s="24"/>
      <c r="Z224" s="24"/>
      <c r="AA224" s="24" t="s">
        <v>16</v>
      </c>
      <c r="AB224" s="24" t="s">
        <v>10</v>
      </c>
      <c r="AC224" s="24">
        <v>2</v>
      </c>
      <c r="AD224" s="46" t="s">
        <v>3448</v>
      </c>
      <c r="AE224" s="46" t="s">
        <v>3453</v>
      </c>
      <c r="AF224" s="46" t="s">
        <v>37</v>
      </c>
      <c r="AG224" s="746">
        <v>44146</v>
      </c>
      <c r="AH224" s="46"/>
      <c r="AI224" s="24"/>
      <c r="AJ224" s="1107"/>
    </row>
    <row r="225" spans="1:36" ht="64.5" x14ac:dyDescent="0.25">
      <c r="A225" s="339"/>
      <c r="B225" s="116"/>
      <c r="C225" s="95"/>
      <c r="D225" s="567"/>
      <c r="E225" s="567"/>
      <c r="F225" s="108"/>
      <c r="G225" s="108"/>
      <c r="H225" s="95"/>
      <c r="I225" s="108"/>
      <c r="J225" s="122"/>
      <c r="K225" s="191"/>
      <c r="L225" s="359"/>
      <c r="M225" s="913"/>
      <c r="N225" s="913"/>
      <c r="O225" s="95"/>
      <c r="P225" s="95"/>
      <c r="Q225" s="359"/>
      <c r="R225" s="98"/>
      <c r="S225" s="42" t="s">
        <v>92</v>
      </c>
      <c r="T225" s="43" t="s">
        <v>3444</v>
      </c>
      <c r="U225" s="24">
        <v>1600</v>
      </c>
      <c r="V225" s="24"/>
      <c r="W225" s="24"/>
      <c r="X225" s="24">
        <v>1300</v>
      </c>
      <c r="Y225" s="24"/>
      <c r="Z225" s="24"/>
      <c r="AA225" s="24" t="s">
        <v>16</v>
      </c>
      <c r="AB225" s="24" t="s">
        <v>10</v>
      </c>
      <c r="AC225" s="24">
        <v>2</v>
      </c>
      <c r="AD225" s="46" t="s">
        <v>3449</v>
      </c>
      <c r="AE225" s="46" t="s">
        <v>3453</v>
      </c>
      <c r="AF225" s="46" t="s">
        <v>37</v>
      </c>
      <c r="AG225" s="746">
        <v>44146</v>
      </c>
      <c r="AH225" s="46"/>
      <c r="AI225" s="24"/>
      <c r="AJ225" s="1107"/>
    </row>
    <row r="226" spans="1:36" ht="51.75" x14ac:dyDescent="0.25">
      <c r="A226" s="339"/>
      <c r="B226" s="116"/>
      <c r="C226" s="95"/>
      <c r="D226" s="567"/>
      <c r="E226" s="567"/>
      <c r="F226" s="108"/>
      <c r="G226" s="108"/>
      <c r="H226" s="95"/>
      <c r="I226" s="108"/>
      <c r="J226" s="122"/>
      <c r="K226" s="191"/>
      <c r="L226" s="359"/>
      <c r="M226" s="913"/>
      <c r="N226" s="913"/>
      <c r="O226" s="95"/>
      <c r="P226" s="95"/>
      <c r="Q226" s="359"/>
      <c r="R226" s="98"/>
      <c r="S226" s="42" t="s">
        <v>99</v>
      </c>
      <c r="T226" s="43" t="s">
        <v>3445</v>
      </c>
      <c r="U226" s="24">
        <v>3300</v>
      </c>
      <c r="V226" s="24"/>
      <c r="W226" s="24"/>
      <c r="X226" s="24">
        <v>3000</v>
      </c>
      <c r="Y226" s="24"/>
      <c r="Z226" s="24"/>
      <c r="AA226" s="24" t="s">
        <v>16</v>
      </c>
      <c r="AB226" s="24" t="s">
        <v>10</v>
      </c>
      <c r="AC226" s="24">
        <v>2</v>
      </c>
      <c r="AD226" s="46" t="s">
        <v>3450</v>
      </c>
      <c r="AE226" s="46" t="s">
        <v>3453</v>
      </c>
      <c r="AF226" s="46" t="s">
        <v>37</v>
      </c>
      <c r="AG226" s="746">
        <v>44146</v>
      </c>
      <c r="AH226" s="46"/>
      <c r="AI226" s="24"/>
      <c r="AJ226" s="1107"/>
    </row>
    <row r="227" spans="1:36" ht="77.25" x14ac:dyDescent="0.25">
      <c r="A227" s="339"/>
      <c r="B227" s="116"/>
      <c r="C227" s="95"/>
      <c r="D227" s="567"/>
      <c r="E227" s="567"/>
      <c r="F227" s="108"/>
      <c r="G227" s="108"/>
      <c r="H227" s="95"/>
      <c r="I227" s="108"/>
      <c r="J227" s="122"/>
      <c r="K227" s="191"/>
      <c r="L227" s="359"/>
      <c r="M227" s="913"/>
      <c r="N227" s="913"/>
      <c r="O227" s="95"/>
      <c r="P227" s="95"/>
      <c r="Q227" s="359"/>
      <c r="R227" s="98"/>
      <c r="S227" s="42" t="s">
        <v>100</v>
      </c>
      <c r="T227" s="43" t="s">
        <v>3446</v>
      </c>
      <c r="U227" s="24">
        <v>5300</v>
      </c>
      <c r="V227" s="24"/>
      <c r="W227" s="24"/>
      <c r="X227" s="24">
        <v>4650</v>
      </c>
      <c r="Y227" s="24"/>
      <c r="Z227" s="24"/>
      <c r="AA227" s="24" t="s">
        <v>16</v>
      </c>
      <c r="AB227" s="24" t="s">
        <v>10</v>
      </c>
      <c r="AC227" s="24">
        <v>2</v>
      </c>
      <c r="AD227" s="46" t="s">
        <v>3452</v>
      </c>
      <c r="AE227" s="46" t="s">
        <v>3453</v>
      </c>
      <c r="AF227" s="46" t="s">
        <v>37</v>
      </c>
      <c r="AG227" s="746">
        <v>44146</v>
      </c>
      <c r="AH227" s="46"/>
      <c r="AI227" s="24"/>
      <c r="AJ227" s="1107"/>
    </row>
    <row r="228" spans="1:36" ht="78" thickBot="1" x14ac:dyDescent="0.3">
      <c r="A228" s="339"/>
      <c r="B228" s="116"/>
      <c r="C228" s="95"/>
      <c r="D228" s="567"/>
      <c r="E228" s="567"/>
      <c r="F228" s="108"/>
      <c r="G228" s="108"/>
      <c r="H228" s="95"/>
      <c r="I228" s="108"/>
      <c r="J228" s="122"/>
      <c r="K228" s="190"/>
      <c r="L228" s="357"/>
      <c r="M228" s="912"/>
      <c r="N228" s="912"/>
      <c r="O228" s="96"/>
      <c r="P228" s="96"/>
      <c r="Q228" s="357"/>
      <c r="R228" s="100"/>
      <c r="S228" s="48" t="s">
        <v>101</v>
      </c>
      <c r="T228" s="49" t="s">
        <v>3447</v>
      </c>
      <c r="U228" s="25">
        <v>5310</v>
      </c>
      <c r="V228" s="25"/>
      <c r="W228" s="25"/>
      <c r="X228" s="25">
        <v>4960</v>
      </c>
      <c r="Y228" s="25"/>
      <c r="Z228" s="25"/>
      <c r="AA228" s="25" t="s">
        <v>16</v>
      </c>
      <c r="AB228" s="25" t="s">
        <v>16</v>
      </c>
      <c r="AC228" s="25">
        <v>2</v>
      </c>
      <c r="AD228" s="52" t="s">
        <v>3452</v>
      </c>
      <c r="AE228" s="52" t="s">
        <v>3453</v>
      </c>
      <c r="AF228" s="52" t="s">
        <v>37</v>
      </c>
      <c r="AG228" s="745">
        <v>44146</v>
      </c>
      <c r="AH228" s="52"/>
      <c r="AI228" s="25"/>
      <c r="AJ228" s="653"/>
    </row>
    <row r="229" spans="1:36" ht="51.75" x14ac:dyDescent="0.25">
      <c r="A229" s="339"/>
      <c r="B229" s="116"/>
      <c r="C229" s="95"/>
      <c r="D229" s="567"/>
      <c r="E229" s="567"/>
      <c r="F229" s="108"/>
      <c r="G229" s="108"/>
      <c r="H229" s="95"/>
      <c r="I229" s="108"/>
      <c r="J229" s="122"/>
      <c r="K229" s="189">
        <v>532</v>
      </c>
      <c r="L229" s="355" t="s">
        <v>3454</v>
      </c>
      <c r="M229" s="911">
        <v>1638563.7744</v>
      </c>
      <c r="N229" s="911">
        <v>5354995.6305999998</v>
      </c>
      <c r="O229" s="125" t="s">
        <v>41</v>
      </c>
      <c r="P229" s="125">
        <v>2</v>
      </c>
      <c r="Q229" s="355" t="s">
        <v>2156</v>
      </c>
      <c r="R229" s="134" t="s">
        <v>2156</v>
      </c>
      <c r="S229" s="38" t="s">
        <v>47</v>
      </c>
      <c r="T229" s="39" t="s">
        <v>3422</v>
      </c>
      <c r="U229" s="31">
        <f>1950-1848</f>
        <v>102</v>
      </c>
      <c r="V229" s="31"/>
      <c r="W229" s="31"/>
      <c r="X229" s="31"/>
      <c r="Y229" s="31"/>
      <c r="Z229" s="31"/>
      <c r="AA229" s="31" t="s">
        <v>16</v>
      </c>
      <c r="AB229" s="31" t="s">
        <v>10</v>
      </c>
      <c r="AC229" s="31">
        <v>2</v>
      </c>
      <c r="AD229" s="40" t="s">
        <v>3560</v>
      </c>
      <c r="AE229" s="40" t="s">
        <v>3453</v>
      </c>
      <c r="AF229" s="40" t="s">
        <v>37</v>
      </c>
      <c r="AG229" s="744">
        <v>44147</v>
      </c>
      <c r="AH229" s="40"/>
      <c r="AI229" s="31"/>
      <c r="AJ229" s="652"/>
    </row>
    <row r="230" spans="1:36" ht="65.25" thickBot="1" x14ac:dyDescent="0.3">
      <c r="A230" s="339"/>
      <c r="B230" s="116"/>
      <c r="C230" s="95"/>
      <c r="D230" s="567"/>
      <c r="E230" s="567"/>
      <c r="F230" s="108"/>
      <c r="G230" s="108"/>
      <c r="H230" s="95"/>
      <c r="I230" s="108"/>
      <c r="J230" s="122"/>
      <c r="K230" s="190"/>
      <c r="L230" s="357"/>
      <c r="M230" s="912"/>
      <c r="N230" s="912"/>
      <c r="O230" s="96"/>
      <c r="P230" s="96"/>
      <c r="Q230" s="357"/>
      <c r="R230" s="100"/>
      <c r="S230" s="48" t="s">
        <v>91</v>
      </c>
      <c r="T230" s="49" t="s">
        <v>3559</v>
      </c>
      <c r="U230" s="25">
        <v>1080</v>
      </c>
      <c r="V230" s="25"/>
      <c r="W230" s="25"/>
      <c r="X230" s="25">
        <v>940</v>
      </c>
      <c r="Y230" s="25"/>
      <c r="Z230" s="25"/>
      <c r="AA230" s="25" t="s">
        <v>16</v>
      </c>
      <c r="AB230" s="25" t="s">
        <v>10</v>
      </c>
      <c r="AC230" s="25">
        <v>2</v>
      </c>
      <c r="AD230" s="52" t="s">
        <v>3561</v>
      </c>
      <c r="AE230" s="52" t="s">
        <v>3453</v>
      </c>
      <c r="AF230" s="52" t="s">
        <v>37</v>
      </c>
      <c r="AG230" s="745">
        <v>44147</v>
      </c>
      <c r="AH230" s="52"/>
      <c r="AI230" s="25"/>
      <c r="AJ230" s="653"/>
    </row>
    <row r="231" spans="1:36" ht="26.25" x14ac:dyDescent="0.25">
      <c r="A231" s="339"/>
      <c r="B231" s="116"/>
      <c r="C231" s="95"/>
      <c r="D231" s="567"/>
      <c r="E231" s="567"/>
      <c r="F231" s="108"/>
      <c r="G231" s="108"/>
      <c r="H231" s="95"/>
      <c r="I231" s="108"/>
      <c r="J231" s="122"/>
      <c r="K231" s="189" t="s">
        <v>2156</v>
      </c>
      <c r="L231" s="355" t="s">
        <v>3647</v>
      </c>
      <c r="M231" s="911" t="s">
        <v>2156</v>
      </c>
      <c r="N231" s="911" t="s">
        <v>2156</v>
      </c>
      <c r="O231" s="125" t="s">
        <v>3667</v>
      </c>
      <c r="P231" s="145" t="s">
        <v>3668</v>
      </c>
      <c r="Q231" s="355" t="s">
        <v>3671</v>
      </c>
      <c r="R231" s="134" t="s">
        <v>16</v>
      </c>
      <c r="S231" s="38" t="s">
        <v>47</v>
      </c>
      <c r="T231" s="39" t="s">
        <v>3422</v>
      </c>
      <c r="U231" s="31">
        <f>1950-1848</f>
        <v>102</v>
      </c>
      <c r="V231" s="31"/>
      <c r="W231" s="31"/>
      <c r="X231" s="31"/>
      <c r="Y231" s="31"/>
      <c r="Z231" s="31"/>
      <c r="AA231" s="31" t="s">
        <v>16</v>
      </c>
      <c r="AB231" s="31" t="s">
        <v>10</v>
      </c>
      <c r="AC231" s="31">
        <v>2</v>
      </c>
      <c r="AD231" s="40" t="s">
        <v>3562</v>
      </c>
      <c r="AE231" s="40" t="s">
        <v>3453</v>
      </c>
      <c r="AF231" s="40" t="s">
        <v>37</v>
      </c>
      <c r="AG231" s="744">
        <v>44147</v>
      </c>
      <c r="AH231" s="40"/>
      <c r="AI231" s="31"/>
      <c r="AJ231" s="652"/>
    </row>
    <row r="232" spans="1:36" x14ac:dyDescent="0.25">
      <c r="A232" s="339"/>
      <c r="B232" s="116"/>
      <c r="C232" s="95"/>
      <c r="D232" s="567"/>
      <c r="E232" s="567"/>
      <c r="F232" s="108"/>
      <c r="G232" s="108"/>
      <c r="H232" s="95"/>
      <c r="I232" s="108"/>
      <c r="J232" s="122"/>
      <c r="K232" s="191"/>
      <c r="L232" s="359"/>
      <c r="M232" s="913"/>
      <c r="N232" s="913"/>
      <c r="O232" s="95"/>
      <c r="P232" s="95"/>
      <c r="Q232" s="359"/>
      <c r="R232" s="98"/>
      <c r="S232" s="42" t="s">
        <v>91</v>
      </c>
      <c r="T232" s="43" t="s">
        <v>3443</v>
      </c>
      <c r="U232" s="24">
        <v>1260</v>
      </c>
      <c r="V232" s="24"/>
      <c r="W232" s="24"/>
      <c r="X232" s="24">
        <v>960</v>
      </c>
      <c r="Y232" s="24"/>
      <c r="Z232" s="24"/>
      <c r="AA232" s="24" t="s">
        <v>16</v>
      </c>
      <c r="AB232" s="24" t="s">
        <v>10</v>
      </c>
      <c r="AC232" s="24">
        <v>2</v>
      </c>
      <c r="AD232" s="46" t="s">
        <v>3563</v>
      </c>
      <c r="AE232" s="46" t="s">
        <v>3453</v>
      </c>
      <c r="AF232" s="46" t="s">
        <v>37</v>
      </c>
      <c r="AG232" s="746">
        <v>44147</v>
      </c>
      <c r="AH232" s="46"/>
      <c r="AI232" s="24"/>
      <c r="AJ232" s="1107"/>
    </row>
    <row r="233" spans="1:36" x14ac:dyDescent="0.25">
      <c r="A233" s="339"/>
      <c r="B233" s="116"/>
      <c r="C233" s="95"/>
      <c r="D233" s="567"/>
      <c r="E233" s="567"/>
      <c r="F233" s="108"/>
      <c r="G233" s="108"/>
      <c r="H233" s="95"/>
      <c r="I233" s="108"/>
      <c r="J233" s="122"/>
      <c r="K233" s="191"/>
      <c r="L233" s="359"/>
      <c r="M233" s="913"/>
      <c r="N233" s="913"/>
      <c r="O233" s="95"/>
      <c r="P233" s="95"/>
      <c r="Q233" s="359"/>
      <c r="R233" s="98"/>
      <c r="S233" s="42" t="s">
        <v>92</v>
      </c>
      <c r="T233" s="43" t="s">
        <v>3444</v>
      </c>
      <c r="U233" s="24">
        <v>1600</v>
      </c>
      <c r="V233" s="24"/>
      <c r="W233" s="24"/>
      <c r="X233" s="24">
        <v>1300</v>
      </c>
      <c r="Y233" s="24"/>
      <c r="Z233" s="24"/>
      <c r="AA233" s="24" t="s">
        <v>16</v>
      </c>
      <c r="AB233" s="24" t="s">
        <v>10</v>
      </c>
      <c r="AC233" s="24">
        <v>2</v>
      </c>
      <c r="AD233" s="46" t="s">
        <v>3564</v>
      </c>
      <c r="AE233" s="46" t="s">
        <v>3453</v>
      </c>
      <c r="AF233" s="46" t="s">
        <v>37</v>
      </c>
      <c r="AG233" s="746">
        <v>44147</v>
      </c>
      <c r="AH233" s="46"/>
      <c r="AI233" s="24"/>
      <c r="AJ233" s="1107"/>
    </row>
    <row r="234" spans="1:36" x14ac:dyDescent="0.25">
      <c r="A234" s="339"/>
      <c r="B234" s="116"/>
      <c r="C234" s="95"/>
      <c r="D234" s="567"/>
      <c r="E234" s="567"/>
      <c r="F234" s="108"/>
      <c r="G234" s="108"/>
      <c r="H234" s="95"/>
      <c r="I234" s="108"/>
      <c r="J234" s="122"/>
      <c r="K234" s="191"/>
      <c r="L234" s="359"/>
      <c r="M234" s="913"/>
      <c r="N234" s="913"/>
      <c r="O234" s="95"/>
      <c r="P234" s="95"/>
      <c r="Q234" s="359"/>
      <c r="R234" s="98"/>
      <c r="S234" s="42" t="s">
        <v>99</v>
      </c>
      <c r="T234" s="43" t="s">
        <v>3445</v>
      </c>
      <c r="U234" s="24">
        <v>3300</v>
      </c>
      <c r="V234" s="24"/>
      <c r="W234" s="24"/>
      <c r="X234" s="24">
        <v>3000</v>
      </c>
      <c r="Y234" s="24"/>
      <c r="Z234" s="24"/>
      <c r="AA234" s="24" t="s">
        <v>16</v>
      </c>
      <c r="AB234" s="24" t="s">
        <v>10</v>
      </c>
      <c r="AC234" s="24">
        <v>2</v>
      </c>
      <c r="AD234" s="46" t="s">
        <v>3564</v>
      </c>
      <c r="AE234" s="46" t="s">
        <v>3453</v>
      </c>
      <c r="AF234" s="46" t="s">
        <v>37</v>
      </c>
      <c r="AG234" s="746">
        <v>44147</v>
      </c>
      <c r="AH234" s="46"/>
      <c r="AI234" s="24"/>
      <c r="AJ234" s="1107"/>
    </row>
    <row r="235" spans="1:36" x14ac:dyDescent="0.25">
      <c r="A235" s="339"/>
      <c r="B235" s="116"/>
      <c r="C235" s="95"/>
      <c r="D235" s="567"/>
      <c r="E235" s="567"/>
      <c r="F235" s="108"/>
      <c r="G235" s="108"/>
      <c r="H235" s="95"/>
      <c r="I235" s="108"/>
      <c r="J235" s="122"/>
      <c r="K235" s="191"/>
      <c r="L235" s="359"/>
      <c r="M235" s="913"/>
      <c r="N235" s="913"/>
      <c r="O235" s="95"/>
      <c r="P235" s="95"/>
      <c r="Q235" s="359"/>
      <c r="R235" s="98"/>
      <c r="S235" s="42" t="s">
        <v>100</v>
      </c>
      <c r="T235" s="43" t="s">
        <v>3446</v>
      </c>
      <c r="U235" s="24">
        <v>5300</v>
      </c>
      <c r="V235" s="24"/>
      <c r="W235" s="24"/>
      <c r="X235" s="24">
        <v>4650</v>
      </c>
      <c r="Y235" s="24"/>
      <c r="Z235" s="24"/>
      <c r="AA235" s="24" t="s">
        <v>16</v>
      </c>
      <c r="AB235" s="24" t="s">
        <v>10</v>
      </c>
      <c r="AC235" s="24">
        <v>2</v>
      </c>
      <c r="AD235" s="46" t="s">
        <v>3564</v>
      </c>
      <c r="AE235" s="46" t="s">
        <v>3453</v>
      </c>
      <c r="AF235" s="46" t="s">
        <v>37</v>
      </c>
      <c r="AG235" s="746">
        <v>44147</v>
      </c>
      <c r="AH235" s="46"/>
      <c r="AI235" s="24"/>
      <c r="AJ235" s="1107"/>
    </row>
    <row r="236" spans="1:36" ht="15.75" thickBot="1" x14ac:dyDescent="0.3">
      <c r="A236" s="339"/>
      <c r="B236" s="116"/>
      <c r="C236" s="95"/>
      <c r="D236" s="567"/>
      <c r="E236" s="567"/>
      <c r="F236" s="108"/>
      <c r="G236" s="108"/>
      <c r="H236" s="95"/>
      <c r="I236" s="108"/>
      <c r="J236" s="122"/>
      <c r="K236" s="190"/>
      <c r="L236" s="357"/>
      <c r="M236" s="912"/>
      <c r="N236" s="912"/>
      <c r="O236" s="96"/>
      <c r="P236" s="96"/>
      <c r="Q236" s="357"/>
      <c r="R236" s="100"/>
      <c r="S236" s="48" t="s">
        <v>101</v>
      </c>
      <c r="T236" s="49" t="s">
        <v>3447</v>
      </c>
      <c r="U236" s="25">
        <v>5310</v>
      </c>
      <c r="V236" s="25"/>
      <c r="W236" s="25"/>
      <c r="X236" s="25">
        <v>4960</v>
      </c>
      <c r="Y236" s="25"/>
      <c r="Z236" s="25"/>
      <c r="AA236" s="25" t="s">
        <v>16</v>
      </c>
      <c r="AB236" s="25" t="s">
        <v>16</v>
      </c>
      <c r="AC236" s="25">
        <v>2</v>
      </c>
      <c r="AD236" s="52" t="s">
        <v>3564</v>
      </c>
      <c r="AE236" s="52" t="s">
        <v>3453</v>
      </c>
      <c r="AF236" s="52" t="s">
        <v>37</v>
      </c>
      <c r="AG236" s="745">
        <v>44147</v>
      </c>
      <c r="AH236" s="52"/>
      <c r="AI236" s="25"/>
      <c r="AJ236" s="653"/>
    </row>
    <row r="237" spans="1:36" ht="26.25" x14ac:dyDescent="0.25">
      <c r="A237" s="339"/>
      <c r="B237" s="116"/>
      <c r="C237" s="95"/>
      <c r="D237" s="567"/>
      <c r="E237" s="567"/>
      <c r="F237" s="108"/>
      <c r="G237" s="108"/>
      <c r="H237" s="95"/>
      <c r="I237" s="108"/>
      <c r="J237" s="122"/>
      <c r="K237" s="189" t="s">
        <v>2156</v>
      </c>
      <c r="L237" s="355" t="s">
        <v>3654</v>
      </c>
      <c r="M237" s="911" t="s">
        <v>2156</v>
      </c>
      <c r="N237" s="911" t="s">
        <v>2156</v>
      </c>
      <c r="O237" s="125" t="s">
        <v>3669</v>
      </c>
      <c r="P237" s="145" t="s">
        <v>3670</v>
      </c>
      <c r="Q237" s="355" t="s">
        <v>3672</v>
      </c>
      <c r="R237" s="134" t="s">
        <v>16</v>
      </c>
      <c r="S237" s="38" t="s">
        <v>47</v>
      </c>
      <c r="T237" s="39" t="s">
        <v>3422</v>
      </c>
      <c r="U237" s="31">
        <v>102</v>
      </c>
      <c r="V237" s="31"/>
      <c r="W237" s="31"/>
      <c r="X237" s="31"/>
      <c r="Y237" s="31"/>
      <c r="Z237" s="31"/>
      <c r="AA237" s="31" t="s">
        <v>10</v>
      </c>
      <c r="AB237" s="31" t="s">
        <v>10</v>
      </c>
      <c r="AC237" s="31">
        <v>1</v>
      </c>
      <c r="AD237" s="40" t="s">
        <v>3656</v>
      </c>
      <c r="AE237" s="46" t="s">
        <v>3453</v>
      </c>
      <c r="AF237" s="46" t="s">
        <v>37</v>
      </c>
      <c r="AG237" s="744">
        <v>44155</v>
      </c>
      <c r="AH237" s="46"/>
      <c r="AI237" s="31"/>
      <c r="AJ237" s="652"/>
    </row>
    <row r="238" spans="1:36" x14ac:dyDescent="0.25">
      <c r="A238" s="339"/>
      <c r="B238" s="116"/>
      <c r="C238" s="95"/>
      <c r="D238" s="567"/>
      <c r="E238" s="567"/>
      <c r="F238" s="108"/>
      <c r="G238" s="108"/>
      <c r="H238" s="95"/>
      <c r="I238" s="108"/>
      <c r="J238" s="122"/>
      <c r="K238" s="191"/>
      <c r="L238" s="359"/>
      <c r="M238" s="913"/>
      <c r="N238" s="913"/>
      <c r="O238" s="95"/>
      <c r="P238" s="95"/>
      <c r="Q238" s="359"/>
      <c r="R238" s="98"/>
      <c r="S238" s="42" t="s">
        <v>91</v>
      </c>
      <c r="T238" s="43" t="s">
        <v>3655</v>
      </c>
      <c r="U238" s="24">
        <v>1080</v>
      </c>
      <c r="V238" s="24"/>
      <c r="W238" s="24"/>
      <c r="X238" s="24">
        <v>980</v>
      </c>
      <c r="Y238" s="24"/>
      <c r="Z238" s="24"/>
      <c r="AA238" s="24" t="s">
        <v>16</v>
      </c>
      <c r="AB238" s="24" t="s">
        <v>10</v>
      </c>
      <c r="AC238" s="24">
        <v>2</v>
      </c>
      <c r="AD238" s="46" t="s">
        <v>3657</v>
      </c>
      <c r="AE238" s="46" t="s">
        <v>3453</v>
      </c>
      <c r="AF238" s="46" t="s">
        <v>37</v>
      </c>
      <c r="AG238" s="746">
        <v>44155</v>
      </c>
      <c r="AH238" s="46"/>
      <c r="AI238" s="24"/>
      <c r="AJ238" s="1107"/>
    </row>
    <row r="239" spans="1:36" x14ac:dyDescent="0.25">
      <c r="A239" s="339"/>
      <c r="B239" s="116"/>
      <c r="C239" s="95"/>
      <c r="D239" s="567"/>
      <c r="E239" s="567"/>
      <c r="F239" s="108"/>
      <c r="G239" s="108"/>
      <c r="H239" s="95"/>
      <c r="I239" s="108"/>
      <c r="J239" s="122"/>
      <c r="K239" s="191"/>
      <c r="L239" s="359"/>
      <c r="M239" s="913"/>
      <c r="N239" s="913"/>
      <c r="O239" s="95"/>
      <c r="P239" s="95"/>
      <c r="Q239" s="359"/>
      <c r="R239" s="98"/>
      <c r="S239" s="42" t="s">
        <v>92</v>
      </c>
      <c r="T239" s="43" t="s">
        <v>3444</v>
      </c>
      <c r="U239" s="24">
        <v>1600</v>
      </c>
      <c r="V239" s="24"/>
      <c r="W239" s="24"/>
      <c r="X239" s="24">
        <v>1300</v>
      </c>
      <c r="Y239" s="24"/>
      <c r="Z239" s="24"/>
      <c r="AA239" s="24" t="s">
        <v>16</v>
      </c>
      <c r="AB239" s="24" t="s">
        <v>10</v>
      </c>
      <c r="AC239" s="24">
        <v>2</v>
      </c>
      <c r="AD239" s="46" t="s">
        <v>3658</v>
      </c>
      <c r="AE239" s="46" t="s">
        <v>3453</v>
      </c>
      <c r="AF239" s="46" t="s">
        <v>37</v>
      </c>
      <c r="AG239" s="746">
        <v>44155</v>
      </c>
      <c r="AH239" s="46"/>
      <c r="AI239" s="24"/>
      <c r="AJ239" s="1107"/>
    </row>
    <row r="240" spans="1:36" x14ac:dyDescent="0.25">
      <c r="A240" s="339"/>
      <c r="B240" s="116"/>
      <c r="C240" s="95"/>
      <c r="D240" s="567"/>
      <c r="E240" s="567"/>
      <c r="F240" s="108"/>
      <c r="G240" s="108"/>
      <c r="H240" s="95"/>
      <c r="I240" s="108"/>
      <c r="J240" s="122"/>
      <c r="K240" s="191"/>
      <c r="L240" s="359"/>
      <c r="M240" s="913"/>
      <c r="N240" s="913"/>
      <c r="O240" s="95"/>
      <c r="P240" s="95"/>
      <c r="Q240" s="359"/>
      <c r="R240" s="98"/>
      <c r="S240" s="42" t="s">
        <v>99</v>
      </c>
      <c r="T240" s="43" t="s">
        <v>3445</v>
      </c>
      <c r="U240" s="24">
        <v>3300</v>
      </c>
      <c r="V240" s="24"/>
      <c r="W240" s="24"/>
      <c r="X240" s="24">
        <v>3000</v>
      </c>
      <c r="Y240" s="24"/>
      <c r="Z240" s="24"/>
      <c r="AA240" s="24" t="s">
        <v>16</v>
      </c>
      <c r="AB240" s="24" t="s">
        <v>10</v>
      </c>
      <c r="AC240" s="24">
        <v>2</v>
      </c>
      <c r="AD240" s="46" t="s">
        <v>3659</v>
      </c>
      <c r="AE240" s="46" t="s">
        <v>3453</v>
      </c>
      <c r="AF240" s="46" t="s">
        <v>37</v>
      </c>
      <c r="AG240" s="746">
        <v>44155</v>
      </c>
      <c r="AH240" s="46"/>
      <c r="AI240" s="24"/>
      <c r="AJ240" s="1107"/>
    </row>
    <row r="241" spans="1:36" x14ac:dyDescent="0.25">
      <c r="A241" s="339"/>
      <c r="B241" s="116"/>
      <c r="C241" s="95"/>
      <c r="D241" s="567"/>
      <c r="E241" s="567"/>
      <c r="F241" s="108"/>
      <c r="G241" s="108"/>
      <c r="H241" s="95"/>
      <c r="I241" s="108"/>
      <c r="J241" s="122"/>
      <c r="K241" s="191"/>
      <c r="L241" s="359"/>
      <c r="M241" s="913"/>
      <c r="N241" s="913"/>
      <c r="O241" s="95"/>
      <c r="P241" s="95"/>
      <c r="Q241" s="359"/>
      <c r="R241" s="98"/>
      <c r="S241" s="42" t="s">
        <v>100</v>
      </c>
      <c r="T241" s="43" t="s">
        <v>3641</v>
      </c>
      <c r="U241" s="24">
        <v>4600</v>
      </c>
      <c r="V241" s="24"/>
      <c r="W241" s="24"/>
      <c r="X241" s="24">
        <v>4000</v>
      </c>
      <c r="Y241" s="24"/>
      <c r="Z241" s="24"/>
      <c r="AA241" s="24" t="s">
        <v>16</v>
      </c>
      <c r="AB241" s="24" t="s">
        <v>10</v>
      </c>
      <c r="AC241" s="24">
        <v>2</v>
      </c>
      <c r="AD241" s="46" t="s">
        <v>3660</v>
      </c>
      <c r="AE241" s="46" t="s">
        <v>3453</v>
      </c>
      <c r="AF241" s="46" t="s">
        <v>37</v>
      </c>
      <c r="AG241" s="746">
        <v>44155</v>
      </c>
      <c r="AH241" s="46"/>
      <c r="AI241" s="24"/>
      <c r="AJ241" s="1107"/>
    </row>
    <row r="242" spans="1:36" x14ac:dyDescent="0.25">
      <c r="A242" s="339"/>
      <c r="B242" s="116"/>
      <c r="C242" s="95"/>
      <c r="D242" s="567"/>
      <c r="E242" s="567"/>
      <c r="F242" s="108"/>
      <c r="G242" s="108"/>
      <c r="H242" s="95"/>
      <c r="I242" s="108"/>
      <c r="J242" s="122"/>
      <c r="K242" s="191"/>
      <c r="L242" s="359"/>
      <c r="M242" s="913"/>
      <c r="N242" s="913"/>
      <c r="O242" s="95"/>
      <c r="P242" s="95"/>
      <c r="Q242" s="359"/>
      <c r="R242" s="98"/>
      <c r="S242" s="42" t="s">
        <v>101</v>
      </c>
      <c r="T242" s="43" t="s">
        <v>3446</v>
      </c>
      <c r="U242" s="24">
        <v>5300</v>
      </c>
      <c r="V242" s="24"/>
      <c r="W242" s="24"/>
      <c r="X242" s="24">
        <v>4650</v>
      </c>
      <c r="Y242" s="24"/>
      <c r="Z242" s="24"/>
      <c r="AA242" s="24" t="s">
        <v>16</v>
      </c>
      <c r="AB242" s="24" t="s">
        <v>10</v>
      </c>
      <c r="AC242" s="24">
        <v>2</v>
      </c>
      <c r="AD242" s="46" t="s">
        <v>3661</v>
      </c>
      <c r="AE242" s="46" t="s">
        <v>3453</v>
      </c>
      <c r="AF242" s="46" t="s">
        <v>37</v>
      </c>
      <c r="AG242" s="746">
        <v>44155</v>
      </c>
      <c r="AH242" s="46"/>
      <c r="AI242" s="24"/>
      <c r="AJ242" s="1107"/>
    </row>
    <row r="243" spans="1:36" x14ac:dyDescent="0.25">
      <c r="A243" s="339"/>
      <c r="B243" s="116"/>
      <c r="C243" s="95"/>
      <c r="D243" s="567"/>
      <c r="E243" s="567"/>
      <c r="F243" s="108"/>
      <c r="G243" s="108"/>
      <c r="H243" s="95"/>
      <c r="I243" s="108"/>
      <c r="J243" s="122"/>
      <c r="K243" s="191"/>
      <c r="L243" s="359"/>
      <c r="M243" s="913"/>
      <c r="N243" s="913"/>
      <c r="O243" s="95"/>
      <c r="P243" s="95"/>
      <c r="Q243" s="359"/>
      <c r="R243" s="98"/>
      <c r="S243" s="42" t="s">
        <v>102</v>
      </c>
      <c r="T243" s="43" t="s">
        <v>3447</v>
      </c>
      <c r="U243" s="24">
        <v>4960</v>
      </c>
      <c r="V243" s="24"/>
      <c r="W243" s="24"/>
      <c r="X243" s="24">
        <v>4960</v>
      </c>
      <c r="Y243" s="24"/>
      <c r="Z243" s="24"/>
      <c r="AA243" s="24" t="s">
        <v>16</v>
      </c>
      <c r="AB243" s="24" t="s">
        <v>16</v>
      </c>
      <c r="AC243" s="24">
        <v>2</v>
      </c>
      <c r="AD243" s="46" t="s">
        <v>3662</v>
      </c>
      <c r="AE243" s="46" t="s">
        <v>3453</v>
      </c>
      <c r="AF243" s="46" t="s">
        <v>37</v>
      </c>
      <c r="AG243" s="746">
        <v>44155</v>
      </c>
      <c r="AH243" s="46"/>
      <c r="AI243" s="24"/>
      <c r="AJ243" s="1107"/>
    </row>
    <row r="244" spans="1:36" x14ac:dyDescent="0.25">
      <c r="A244" s="339"/>
      <c r="B244" s="116"/>
      <c r="C244" s="95"/>
      <c r="D244" s="567"/>
      <c r="E244" s="567"/>
      <c r="F244" s="108"/>
      <c r="G244" s="108"/>
      <c r="H244" s="95"/>
      <c r="I244" s="108"/>
      <c r="J244" s="122"/>
      <c r="K244" s="191"/>
      <c r="L244" s="359"/>
      <c r="M244" s="913"/>
      <c r="N244" s="913"/>
      <c r="O244" s="95"/>
      <c r="P244" s="95"/>
      <c r="Q244" s="359"/>
      <c r="R244" s="98"/>
      <c r="S244" s="42" t="s">
        <v>103</v>
      </c>
      <c r="T244" s="43" t="s">
        <v>3434</v>
      </c>
      <c r="U244" s="24">
        <v>5910</v>
      </c>
      <c r="V244" s="24"/>
      <c r="W244" s="24"/>
      <c r="X244" s="24">
        <v>5910</v>
      </c>
      <c r="Y244" s="24"/>
      <c r="Z244" s="24"/>
      <c r="AA244" s="24" t="s">
        <v>16</v>
      </c>
      <c r="AB244" s="24" t="s">
        <v>10</v>
      </c>
      <c r="AC244" s="24">
        <v>2</v>
      </c>
      <c r="AD244" s="46" t="s">
        <v>3663</v>
      </c>
      <c r="AE244" s="46" t="s">
        <v>3453</v>
      </c>
      <c r="AF244" s="46" t="s">
        <v>37</v>
      </c>
      <c r="AG244" s="746">
        <v>44155</v>
      </c>
      <c r="AH244" s="46"/>
      <c r="AI244" s="24"/>
      <c r="AJ244" s="1107"/>
    </row>
    <row r="245" spans="1:36" x14ac:dyDescent="0.25">
      <c r="A245" s="339"/>
      <c r="B245" s="116"/>
      <c r="C245" s="95"/>
      <c r="D245" s="567"/>
      <c r="E245" s="567"/>
      <c r="F245" s="108"/>
      <c r="G245" s="108"/>
      <c r="H245" s="95"/>
      <c r="I245" s="108"/>
      <c r="J245" s="122"/>
      <c r="K245" s="191"/>
      <c r="L245" s="359"/>
      <c r="M245" s="913"/>
      <c r="N245" s="913"/>
      <c r="O245" s="95"/>
      <c r="P245" s="95"/>
      <c r="Q245" s="359"/>
      <c r="R245" s="98"/>
      <c r="S245" s="42" t="s">
        <v>104</v>
      </c>
      <c r="T245" s="43" t="s">
        <v>3435</v>
      </c>
      <c r="U245" s="24">
        <v>6490</v>
      </c>
      <c r="V245" s="24"/>
      <c r="W245" s="24"/>
      <c r="X245" s="24">
        <v>6490</v>
      </c>
      <c r="Y245" s="24"/>
      <c r="Z245" s="24"/>
      <c r="AA245" s="24" t="s">
        <v>16</v>
      </c>
      <c r="AB245" s="24" t="s">
        <v>10</v>
      </c>
      <c r="AC245" s="24">
        <v>2</v>
      </c>
      <c r="AD245" s="46" t="s">
        <v>3664</v>
      </c>
      <c r="AE245" s="46" t="s">
        <v>3453</v>
      </c>
      <c r="AF245" s="46" t="s">
        <v>37</v>
      </c>
      <c r="AG245" s="746">
        <v>44155</v>
      </c>
      <c r="AH245" s="46"/>
      <c r="AI245" s="24"/>
      <c r="AJ245" s="1107"/>
    </row>
    <row r="246" spans="1:36" ht="15.75" thickBot="1" x14ac:dyDescent="0.3">
      <c r="A246" s="336"/>
      <c r="B246" s="196"/>
      <c r="C246" s="96"/>
      <c r="D246" s="566"/>
      <c r="E246" s="566"/>
      <c r="F246" s="107"/>
      <c r="G246" s="107"/>
      <c r="H246" s="96"/>
      <c r="I246" s="107"/>
      <c r="J246" s="123"/>
      <c r="K246" s="190"/>
      <c r="L246" s="357"/>
      <c r="M246" s="912"/>
      <c r="N246" s="912"/>
      <c r="O246" s="96"/>
      <c r="P246" s="96"/>
      <c r="Q246" s="357"/>
      <c r="R246" s="100"/>
      <c r="S246" s="48" t="s">
        <v>105</v>
      </c>
      <c r="T246" s="49" t="s">
        <v>3436</v>
      </c>
      <c r="U246" s="25">
        <v>8330</v>
      </c>
      <c r="V246" s="25"/>
      <c r="W246" s="25"/>
      <c r="X246" s="25">
        <v>8330</v>
      </c>
      <c r="Y246" s="25"/>
      <c r="Z246" s="25"/>
      <c r="AA246" s="25" t="s">
        <v>16</v>
      </c>
      <c r="AB246" s="25" t="s">
        <v>10</v>
      </c>
      <c r="AC246" s="25">
        <v>2</v>
      </c>
      <c r="AD246" s="52" t="s">
        <v>3665</v>
      </c>
      <c r="AE246" s="52" t="s">
        <v>3453</v>
      </c>
      <c r="AF246" s="52" t="s">
        <v>37</v>
      </c>
      <c r="AG246" s="745">
        <v>44155</v>
      </c>
      <c r="AH246" s="52"/>
      <c r="AI246" s="25"/>
      <c r="AJ246" s="653"/>
    </row>
    <row r="247" spans="1:36" ht="39" x14ac:dyDescent="0.25">
      <c r="A247" s="487" t="s">
        <v>482</v>
      </c>
      <c r="B247" s="128" t="s">
        <v>6802</v>
      </c>
      <c r="C247" s="72">
        <v>541</v>
      </c>
      <c r="D247" s="586" t="s">
        <v>53</v>
      </c>
      <c r="E247" s="586" t="s">
        <v>52</v>
      </c>
      <c r="F247" s="129"/>
      <c r="G247" s="231"/>
      <c r="H247" s="72"/>
      <c r="I247" s="129"/>
      <c r="J247" s="381"/>
      <c r="K247" s="187">
        <v>550</v>
      </c>
      <c r="L247" s="73" t="s">
        <v>3764</v>
      </c>
      <c r="M247" s="914">
        <v>1585807.1767</v>
      </c>
      <c r="N247" s="914">
        <v>5331933.6569999997</v>
      </c>
      <c r="O247" s="72" t="s">
        <v>41</v>
      </c>
      <c r="P247" s="72">
        <v>2</v>
      </c>
      <c r="Q247" s="73" t="s">
        <v>2156</v>
      </c>
      <c r="R247" s="74" t="s">
        <v>2156</v>
      </c>
      <c r="S247" s="38" t="s">
        <v>47</v>
      </c>
      <c r="T247" s="39" t="s">
        <v>3749</v>
      </c>
      <c r="U247" s="31">
        <v>873</v>
      </c>
      <c r="V247" s="31">
        <f>873-197</f>
        <v>676</v>
      </c>
      <c r="W247" s="31">
        <f>873+209</f>
        <v>1082</v>
      </c>
      <c r="X247" s="31">
        <v>370</v>
      </c>
      <c r="Y247" s="31">
        <f>370-370</f>
        <v>0</v>
      </c>
      <c r="Z247" s="31">
        <f>370+204</f>
        <v>574</v>
      </c>
      <c r="AA247" s="31" t="s">
        <v>16</v>
      </c>
      <c r="AB247" s="31" t="s">
        <v>16</v>
      </c>
      <c r="AC247" s="31">
        <v>2</v>
      </c>
      <c r="AD247" s="40" t="s">
        <v>3750</v>
      </c>
      <c r="AE247" s="40" t="s">
        <v>3874</v>
      </c>
      <c r="AF247" s="40" t="s">
        <v>37</v>
      </c>
      <c r="AG247" s="744">
        <v>44162</v>
      </c>
      <c r="AH247" s="40"/>
      <c r="AI247" s="31"/>
      <c r="AJ247" s="652"/>
    </row>
    <row r="248" spans="1:36" ht="39.75" thickBot="1" x14ac:dyDescent="0.3">
      <c r="A248" s="488"/>
      <c r="B248" s="131"/>
      <c r="C248" s="75"/>
      <c r="D248" s="568"/>
      <c r="E248" s="568"/>
      <c r="F248" s="118"/>
      <c r="G248" s="497"/>
      <c r="H248" s="75"/>
      <c r="I248" s="118"/>
      <c r="J248" s="121"/>
      <c r="K248" s="192"/>
      <c r="L248" s="79"/>
      <c r="M248" s="916"/>
      <c r="N248" s="916"/>
      <c r="O248" s="78"/>
      <c r="P248" s="78"/>
      <c r="Q248" s="79"/>
      <c r="R248" s="80"/>
      <c r="S248" s="48" t="s">
        <v>91</v>
      </c>
      <c r="T248" s="49" t="s">
        <v>3751</v>
      </c>
      <c r="U248" s="25">
        <v>3082</v>
      </c>
      <c r="V248" s="25">
        <f>3082-185</f>
        <v>2897</v>
      </c>
      <c r="W248" s="25">
        <f>3082+189</f>
        <v>3271</v>
      </c>
      <c r="X248" s="25">
        <v>873</v>
      </c>
      <c r="Y248" s="25">
        <f>873-197</f>
        <v>676</v>
      </c>
      <c r="Z248" s="25">
        <f>873+209</f>
        <v>1082</v>
      </c>
      <c r="AA248" s="25" t="s">
        <v>16</v>
      </c>
      <c r="AB248" s="25" t="s">
        <v>16</v>
      </c>
      <c r="AC248" s="25">
        <v>2</v>
      </c>
      <c r="AD248" s="52" t="s">
        <v>3750</v>
      </c>
      <c r="AE248" s="52" t="s">
        <v>3874</v>
      </c>
      <c r="AF248" s="52" t="s">
        <v>37</v>
      </c>
      <c r="AG248" s="745">
        <v>44162</v>
      </c>
      <c r="AH248" s="52"/>
      <c r="AI248" s="25"/>
      <c r="AJ248" s="653"/>
    </row>
    <row r="249" spans="1:36" ht="39.75" thickBot="1" x14ac:dyDescent="0.3">
      <c r="A249" s="488"/>
      <c r="B249" s="131"/>
      <c r="C249" s="75"/>
      <c r="D249" s="568"/>
      <c r="E249" s="568"/>
      <c r="F249" s="118"/>
      <c r="G249" s="118"/>
      <c r="H249" s="75"/>
      <c r="I249" s="118"/>
      <c r="J249" s="121"/>
      <c r="K249" s="87">
        <v>551</v>
      </c>
      <c r="L249" s="360" t="s">
        <v>3757</v>
      </c>
      <c r="M249" s="198">
        <v>1587906.9080999999</v>
      </c>
      <c r="N249" s="198">
        <v>5335132.2962999996</v>
      </c>
      <c r="O249" s="83" t="s">
        <v>41</v>
      </c>
      <c r="P249" s="83">
        <v>1</v>
      </c>
      <c r="Q249" s="360" t="s">
        <v>2156</v>
      </c>
      <c r="R249" s="88" t="s">
        <v>2156</v>
      </c>
      <c r="S249" s="428" t="s">
        <v>47</v>
      </c>
      <c r="T249" s="243" t="s">
        <v>3758</v>
      </c>
      <c r="U249" s="86"/>
      <c r="V249" s="86"/>
      <c r="W249" s="86"/>
      <c r="X249" s="86">
        <v>751</v>
      </c>
      <c r="Y249" s="86">
        <f>751-84</f>
        <v>667</v>
      </c>
      <c r="Z249" s="86">
        <f>751+174</f>
        <v>925</v>
      </c>
      <c r="AA249" s="86" t="s">
        <v>85</v>
      </c>
      <c r="AB249" s="86" t="s">
        <v>16</v>
      </c>
      <c r="AC249" s="86">
        <v>3</v>
      </c>
      <c r="AD249" s="92" t="s">
        <v>3759</v>
      </c>
      <c r="AE249" s="92" t="s">
        <v>3874</v>
      </c>
      <c r="AF249" s="92" t="s">
        <v>37</v>
      </c>
      <c r="AG249" s="743">
        <v>44162</v>
      </c>
      <c r="AH249" s="92"/>
      <c r="AI249" s="86"/>
      <c r="AJ249" s="1108"/>
    </row>
    <row r="250" spans="1:36" ht="39.75" thickBot="1" x14ac:dyDescent="0.3">
      <c r="A250" s="488"/>
      <c r="B250" s="131"/>
      <c r="C250" s="75"/>
      <c r="D250" s="568"/>
      <c r="E250" s="568"/>
      <c r="F250" s="118"/>
      <c r="G250" s="118"/>
      <c r="H250" s="75"/>
      <c r="I250" s="118"/>
      <c r="J250" s="121"/>
      <c r="K250" s="87">
        <v>552</v>
      </c>
      <c r="L250" s="360" t="s">
        <v>3765</v>
      </c>
      <c r="M250" s="198">
        <v>1592505.4256</v>
      </c>
      <c r="N250" s="198">
        <v>5335831.4397999998</v>
      </c>
      <c r="O250" s="83" t="s">
        <v>41</v>
      </c>
      <c r="P250" s="83">
        <v>1</v>
      </c>
      <c r="Q250" s="360" t="s">
        <v>2156</v>
      </c>
      <c r="R250" s="88" t="s">
        <v>2156</v>
      </c>
      <c r="S250" s="428" t="s">
        <v>47</v>
      </c>
      <c r="T250" s="243" t="s">
        <v>3876</v>
      </c>
      <c r="U250" s="86">
        <v>1110</v>
      </c>
      <c r="V250" s="86">
        <f>1110-164</f>
        <v>946</v>
      </c>
      <c r="W250" s="86">
        <f>1110+213</f>
        <v>1323</v>
      </c>
      <c r="X250" s="86"/>
      <c r="Y250" s="86"/>
      <c r="Z250" s="86"/>
      <c r="AA250" s="86" t="s">
        <v>85</v>
      </c>
      <c r="AB250" s="86" t="s">
        <v>16</v>
      </c>
      <c r="AC250" s="86">
        <v>3</v>
      </c>
      <c r="AD250" s="92" t="s">
        <v>3755</v>
      </c>
      <c r="AE250" s="92" t="s">
        <v>3874</v>
      </c>
      <c r="AF250" s="92" t="s">
        <v>37</v>
      </c>
      <c r="AG250" s="743">
        <v>44162</v>
      </c>
      <c r="AH250" s="92"/>
      <c r="AI250" s="86"/>
      <c r="AJ250" s="1108"/>
    </row>
    <row r="251" spans="1:36" ht="39.75" thickBot="1" x14ac:dyDescent="0.3">
      <c r="A251" s="488"/>
      <c r="B251" s="131"/>
      <c r="C251" s="75"/>
      <c r="D251" s="568"/>
      <c r="E251" s="568"/>
      <c r="F251" s="118"/>
      <c r="G251" s="118"/>
      <c r="H251" s="75"/>
      <c r="I251" s="118"/>
      <c r="J251" s="121"/>
      <c r="K251" s="187">
        <v>553</v>
      </c>
      <c r="L251" s="73" t="s">
        <v>3766</v>
      </c>
      <c r="M251" s="914">
        <v>1591005.9154999999</v>
      </c>
      <c r="N251" s="914">
        <v>5335631.7088000001</v>
      </c>
      <c r="O251" s="72" t="s">
        <v>41</v>
      </c>
      <c r="P251" s="72">
        <v>1</v>
      </c>
      <c r="Q251" s="73" t="s">
        <v>2156</v>
      </c>
      <c r="R251" s="74" t="s">
        <v>2156</v>
      </c>
      <c r="S251" s="38" t="s">
        <v>47</v>
      </c>
      <c r="T251" s="39" t="s">
        <v>3877</v>
      </c>
      <c r="U251" s="31">
        <v>1296</v>
      </c>
      <c r="V251" s="31">
        <f>1296-228</f>
        <v>1068</v>
      </c>
      <c r="W251" s="31">
        <f>1296+226</f>
        <v>1522</v>
      </c>
      <c r="X251" s="31"/>
      <c r="Y251" s="31"/>
      <c r="Z251" s="31"/>
      <c r="AA251" s="31" t="s">
        <v>85</v>
      </c>
      <c r="AB251" s="31" t="s">
        <v>16</v>
      </c>
      <c r="AC251" s="31">
        <v>3</v>
      </c>
      <c r="AD251" s="40" t="s">
        <v>3756</v>
      </c>
      <c r="AE251" s="40" t="s">
        <v>3874</v>
      </c>
      <c r="AF251" s="40" t="s">
        <v>37</v>
      </c>
      <c r="AG251" s="744">
        <v>44162</v>
      </c>
      <c r="AH251" s="40"/>
      <c r="AI251" s="31"/>
      <c r="AJ251" s="652"/>
    </row>
    <row r="252" spans="1:36" ht="26.25" x14ac:dyDescent="0.25">
      <c r="A252" s="488"/>
      <c r="B252" s="131"/>
      <c r="C252" s="75"/>
      <c r="D252" s="568"/>
      <c r="E252" s="568"/>
      <c r="F252" s="118"/>
      <c r="G252" s="118"/>
      <c r="H252" s="75"/>
      <c r="I252" s="118"/>
      <c r="J252" s="121"/>
      <c r="K252" s="187">
        <v>554</v>
      </c>
      <c r="L252" s="73" t="s">
        <v>3772</v>
      </c>
      <c r="M252" s="914">
        <v>1581708.2614</v>
      </c>
      <c r="N252" s="914">
        <v>5329634.9902999997</v>
      </c>
      <c r="O252" s="72" t="s">
        <v>41</v>
      </c>
      <c r="P252" s="72">
        <v>3</v>
      </c>
      <c r="Q252" s="73" t="s">
        <v>2156</v>
      </c>
      <c r="R252" s="72" t="s">
        <v>2156</v>
      </c>
      <c r="S252" s="38" t="s">
        <v>47</v>
      </c>
      <c r="T252" s="39" t="s">
        <v>3773</v>
      </c>
      <c r="U252" s="31"/>
      <c r="V252" s="31">
        <v>1286</v>
      </c>
      <c r="W252" s="31">
        <v>973</v>
      </c>
      <c r="X252" s="31"/>
      <c r="Y252" s="31"/>
      <c r="Z252" s="31"/>
      <c r="AA252" s="31" t="s">
        <v>85</v>
      </c>
      <c r="AB252" s="31" t="s">
        <v>85</v>
      </c>
      <c r="AC252" s="31">
        <v>3</v>
      </c>
      <c r="AD252" s="40" t="s">
        <v>3776</v>
      </c>
      <c r="AE252" s="40" t="s">
        <v>3875</v>
      </c>
      <c r="AF252" s="40" t="s">
        <v>37</v>
      </c>
      <c r="AG252" s="744">
        <v>44162</v>
      </c>
      <c r="AH252" s="40"/>
      <c r="AI252" s="31"/>
      <c r="AJ252" s="652"/>
    </row>
    <row r="253" spans="1:36" ht="26.25" x14ac:dyDescent="0.25">
      <c r="A253" s="488"/>
      <c r="B253" s="131"/>
      <c r="C253" s="75"/>
      <c r="D253" s="568"/>
      <c r="E253" s="568"/>
      <c r="F253" s="118"/>
      <c r="G253" s="118"/>
      <c r="H253" s="75"/>
      <c r="I253" s="118"/>
      <c r="J253" s="121"/>
      <c r="K253" s="188"/>
      <c r="L253" s="76"/>
      <c r="M253" s="915"/>
      <c r="N253" s="915"/>
      <c r="O253" s="75"/>
      <c r="P253" s="75"/>
      <c r="Q253" s="76"/>
      <c r="R253" s="75"/>
      <c r="S253" s="42" t="s">
        <v>91</v>
      </c>
      <c r="T253" s="43" t="s">
        <v>3774</v>
      </c>
      <c r="U253" s="24">
        <v>2923</v>
      </c>
      <c r="V253" s="24">
        <v>3178</v>
      </c>
      <c r="W253" s="24">
        <v>2770</v>
      </c>
      <c r="X253" s="24"/>
      <c r="Y253" s="24"/>
      <c r="Z253" s="24"/>
      <c r="AA253" s="24" t="s">
        <v>85</v>
      </c>
      <c r="AB253" s="24" t="s">
        <v>85</v>
      </c>
      <c r="AC253" s="24">
        <v>3</v>
      </c>
      <c r="AD253" s="46" t="s">
        <v>3776</v>
      </c>
      <c r="AE253" s="46" t="s">
        <v>3875</v>
      </c>
      <c r="AF253" s="46" t="s">
        <v>37</v>
      </c>
      <c r="AG253" s="746">
        <v>44162</v>
      </c>
      <c r="AH253" s="46"/>
      <c r="AI253" s="24"/>
      <c r="AJ253" s="1107"/>
    </row>
    <row r="254" spans="1:36" ht="27" thickBot="1" x14ac:dyDescent="0.3">
      <c r="A254" s="488"/>
      <c r="B254" s="131"/>
      <c r="C254" s="75"/>
      <c r="D254" s="568"/>
      <c r="E254" s="568"/>
      <c r="F254" s="118"/>
      <c r="G254" s="118"/>
      <c r="H254" s="75"/>
      <c r="I254" s="118"/>
      <c r="J254" s="121"/>
      <c r="K254" s="192"/>
      <c r="L254" s="79"/>
      <c r="M254" s="916"/>
      <c r="N254" s="916"/>
      <c r="O254" s="78"/>
      <c r="P254" s="78"/>
      <c r="Q254" s="79"/>
      <c r="R254" s="78"/>
      <c r="S254" s="48" t="s">
        <v>92</v>
      </c>
      <c r="T254" s="49" t="s">
        <v>3775</v>
      </c>
      <c r="U254" s="25"/>
      <c r="V254" s="25">
        <v>4090</v>
      </c>
      <c r="W254" s="25">
        <v>3827</v>
      </c>
      <c r="X254" s="25"/>
      <c r="Y254" s="25"/>
      <c r="Z254" s="25"/>
      <c r="AA254" s="25" t="s">
        <v>85</v>
      </c>
      <c r="AB254" s="25" t="s">
        <v>85</v>
      </c>
      <c r="AC254" s="25">
        <v>3</v>
      </c>
      <c r="AD254" s="52" t="s">
        <v>3776</v>
      </c>
      <c r="AE254" s="52" t="s">
        <v>3875</v>
      </c>
      <c r="AF254" s="52" t="s">
        <v>37</v>
      </c>
      <c r="AG254" s="745">
        <v>44162</v>
      </c>
      <c r="AH254" s="52"/>
      <c r="AI254" s="25"/>
      <c r="AJ254" s="653"/>
    </row>
    <row r="255" spans="1:36" ht="39.75" thickBot="1" x14ac:dyDescent="0.3">
      <c r="A255" s="488"/>
      <c r="B255" s="131"/>
      <c r="C255" s="75"/>
      <c r="D255" s="568"/>
      <c r="E255" s="568"/>
      <c r="F255" s="118"/>
      <c r="G255" s="118"/>
      <c r="H255" s="75"/>
      <c r="I255" s="118"/>
      <c r="J255" s="121"/>
      <c r="K255" s="192">
        <v>555</v>
      </c>
      <c r="L255" s="79" t="s">
        <v>3770</v>
      </c>
      <c r="M255" s="916">
        <v>1610160.8073</v>
      </c>
      <c r="N255" s="916">
        <v>5339325.1805999996</v>
      </c>
      <c r="O255" s="78" t="s">
        <v>41</v>
      </c>
      <c r="P255" s="78">
        <v>1</v>
      </c>
      <c r="Q255" s="79" t="s">
        <v>2156</v>
      </c>
      <c r="R255" s="80" t="s">
        <v>2156</v>
      </c>
      <c r="S255" s="48" t="s">
        <v>47</v>
      </c>
      <c r="T255" s="49" t="s">
        <v>3771</v>
      </c>
      <c r="U255" s="25">
        <v>517</v>
      </c>
      <c r="V255" s="25">
        <f>517-186</f>
        <v>331</v>
      </c>
      <c r="W255" s="25">
        <f>517+120</f>
        <v>637</v>
      </c>
      <c r="X255" s="25">
        <v>515</v>
      </c>
      <c r="Y255" s="25">
        <f>515-139</f>
        <v>376</v>
      </c>
      <c r="Z255" s="25">
        <f>515+59</f>
        <v>574</v>
      </c>
      <c r="AA255" s="25" t="s">
        <v>16</v>
      </c>
      <c r="AB255" s="25" t="s">
        <v>16</v>
      </c>
      <c r="AC255" s="25">
        <v>2</v>
      </c>
      <c r="AD255" s="52" t="s">
        <v>3750</v>
      </c>
      <c r="AE255" s="52" t="s">
        <v>3874</v>
      </c>
      <c r="AF255" s="52" t="s">
        <v>37</v>
      </c>
      <c r="AG255" s="745">
        <v>44162</v>
      </c>
      <c r="AH255" s="52"/>
      <c r="AI255" s="25"/>
      <c r="AJ255" s="653"/>
    </row>
    <row r="256" spans="1:36" ht="39.75" thickBot="1" x14ac:dyDescent="0.3">
      <c r="A256" s="488"/>
      <c r="B256" s="131"/>
      <c r="C256" s="75"/>
      <c r="D256" s="568"/>
      <c r="E256" s="568"/>
      <c r="F256" s="118"/>
      <c r="G256" s="118"/>
      <c r="H256" s="75"/>
      <c r="I256" s="118"/>
      <c r="J256" s="121"/>
      <c r="K256" s="87">
        <v>556</v>
      </c>
      <c r="L256" s="360" t="s">
        <v>3781</v>
      </c>
      <c r="M256" s="198">
        <v>1614510.5075000001</v>
      </c>
      <c r="N256" s="198">
        <v>5340783.1580999997</v>
      </c>
      <c r="O256" s="83" t="s">
        <v>41</v>
      </c>
      <c r="P256" s="83">
        <v>1</v>
      </c>
      <c r="Q256" s="360" t="s">
        <v>2156</v>
      </c>
      <c r="R256" s="88" t="s">
        <v>2156</v>
      </c>
      <c r="S256" s="428" t="s">
        <v>47</v>
      </c>
      <c r="T256" s="243" t="s">
        <v>3782</v>
      </c>
      <c r="U256" s="86">
        <v>751</v>
      </c>
      <c r="V256" s="86">
        <f>751-64</f>
        <v>687</v>
      </c>
      <c r="W256" s="86">
        <f>751+204</f>
        <v>955</v>
      </c>
      <c r="X256" s="86">
        <v>522</v>
      </c>
      <c r="Y256" s="86">
        <f>522-147</f>
        <v>375</v>
      </c>
      <c r="Z256" s="86">
        <f>522+92</f>
        <v>614</v>
      </c>
      <c r="AA256" s="86" t="s">
        <v>16</v>
      </c>
      <c r="AB256" s="86" t="s">
        <v>16</v>
      </c>
      <c r="AC256" s="86">
        <v>2</v>
      </c>
      <c r="AD256" s="92" t="s">
        <v>3750</v>
      </c>
      <c r="AE256" s="52" t="s">
        <v>3874</v>
      </c>
      <c r="AF256" s="92" t="s">
        <v>37</v>
      </c>
      <c r="AG256" s="743">
        <v>44162</v>
      </c>
      <c r="AH256" s="92"/>
      <c r="AI256" s="86"/>
      <c r="AJ256" s="1108"/>
    </row>
    <row r="257" spans="1:36" ht="39.75" thickBot="1" x14ac:dyDescent="0.3">
      <c r="A257" s="488"/>
      <c r="B257" s="131"/>
      <c r="C257" s="75"/>
      <c r="D257" s="568"/>
      <c r="E257" s="568"/>
      <c r="F257" s="118"/>
      <c r="G257" s="118"/>
      <c r="H257" s="75"/>
      <c r="I257" s="118"/>
      <c r="J257" s="121"/>
      <c r="K257" s="87">
        <v>557</v>
      </c>
      <c r="L257" s="360" t="s">
        <v>3763</v>
      </c>
      <c r="M257" s="198">
        <v>1594204.8478999999</v>
      </c>
      <c r="N257" s="198">
        <v>5335931.1783999996</v>
      </c>
      <c r="O257" s="83" t="s">
        <v>41</v>
      </c>
      <c r="P257" s="83">
        <v>1</v>
      </c>
      <c r="Q257" s="360" t="s">
        <v>2156</v>
      </c>
      <c r="R257" s="88" t="s">
        <v>2156</v>
      </c>
      <c r="S257" s="428" t="s">
        <v>47</v>
      </c>
      <c r="T257" s="243" t="s">
        <v>3767</v>
      </c>
      <c r="U257" s="86">
        <v>597</v>
      </c>
      <c r="V257" s="86">
        <f>597-102</f>
        <v>495</v>
      </c>
      <c r="W257" s="86">
        <f>597+131</f>
        <v>728</v>
      </c>
      <c r="X257" s="86"/>
      <c r="Y257" s="86"/>
      <c r="Z257" s="86"/>
      <c r="AA257" s="86" t="s">
        <v>85</v>
      </c>
      <c r="AB257" s="86" t="s">
        <v>16</v>
      </c>
      <c r="AC257" s="86">
        <v>3</v>
      </c>
      <c r="AD257" s="92" t="s">
        <v>3755</v>
      </c>
      <c r="AE257" s="52" t="s">
        <v>3874</v>
      </c>
      <c r="AF257" s="92" t="s">
        <v>37</v>
      </c>
      <c r="AG257" s="743">
        <v>44162</v>
      </c>
      <c r="AH257" s="92"/>
      <c r="AI257" s="86"/>
      <c r="AJ257" s="1108"/>
    </row>
    <row r="258" spans="1:36" ht="39.75" thickBot="1" x14ac:dyDescent="0.3">
      <c r="A258" s="488"/>
      <c r="B258" s="131"/>
      <c r="C258" s="75"/>
      <c r="D258" s="568"/>
      <c r="E258" s="568"/>
      <c r="F258" s="118"/>
      <c r="G258" s="118"/>
      <c r="H258" s="75"/>
      <c r="I258" s="118"/>
      <c r="J258" s="121"/>
      <c r="K258" s="87">
        <v>558</v>
      </c>
      <c r="L258" s="360" t="s">
        <v>3768</v>
      </c>
      <c r="M258" s="198">
        <v>1602102.3493999999</v>
      </c>
      <c r="N258" s="198">
        <v>5337629.5459000003</v>
      </c>
      <c r="O258" s="83" t="s">
        <v>41</v>
      </c>
      <c r="P258" s="83">
        <v>1</v>
      </c>
      <c r="Q258" s="360" t="s">
        <v>2156</v>
      </c>
      <c r="R258" s="88" t="s">
        <v>2156</v>
      </c>
      <c r="S258" s="428" t="s">
        <v>47</v>
      </c>
      <c r="T258" s="243" t="s">
        <v>3769</v>
      </c>
      <c r="U258" s="86">
        <v>646</v>
      </c>
      <c r="V258" s="86">
        <f>646-80</f>
        <v>566</v>
      </c>
      <c r="W258" s="86">
        <f>646+65</f>
        <v>711</v>
      </c>
      <c r="X258" s="86"/>
      <c r="Y258" s="86"/>
      <c r="Z258" s="86"/>
      <c r="AA258" s="86" t="s">
        <v>85</v>
      </c>
      <c r="AB258" s="86" t="s">
        <v>16</v>
      </c>
      <c r="AC258" s="86">
        <v>3</v>
      </c>
      <c r="AD258" s="92" t="s">
        <v>3755</v>
      </c>
      <c r="AE258" s="52" t="s">
        <v>3874</v>
      </c>
      <c r="AF258" s="92" t="s">
        <v>37</v>
      </c>
      <c r="AG258" s="743">
        <v>44162</v>
      </c>
      <c r="AH258" s="92"/>
      <c r="AI258" s="86"/>
      <c r="AJ258" s="1108"/>
    </row>
    <row r="259" spans="1:36" ht="39.75" thickBot="1" x14ac:dyDescent="0.3">
      <c r="A259" s="488"/>
      <c r="B259" s="131"/>
      <c r="C259" s="75"/>
      <c r="D259" s="568"/>
      <c r="E259" s="568"/>
      <c r="F259" s="118"/>
      <c r="G259" s="118"/>
      <c r="H259" s="75"/>
      <c r="I259" s="118"/>
      <c r="J259" s="121"/>
      <c r="K259" s="87">
        <v>559</v>
      </c>
      <c r="L259" s="360" t="s">
        <v>3779</v>
      </c>
      <c r="M259" s="198">
        <v>1615204.6784000001</v>
      </c>
      <c r="N259" s="198">
        <v>5341081.568</v>
      </c>
      <c r="O259" s="83" t="s">
        <v>41</v>
      </c>
      <c r="P259" s="83">
        <v>1</v>
      </c>
      <c r="Q259" s="360" t="s">
        <v>2156</v>
      </c>
      <c r="R259" s="88" t="s">
        <v>2156</v>
      </c>
      <c r="S259" s="428" t="s">
        <v>47</v>
      </c>
      <c r="T259" s="243" t="s">
        <v>3780</v>
      </c>
      <c r="U259" s="86">
        <v>744</v>
      </c>
      <c r="V259" s="86">
        <f>755-127</f>
        <v>628</v>
      </c>
      <c r="W259" s="86">
        <f>755+255</f>
        <v>1010</v>
      </c>
      <c r="X259" s="86"/>
      <c r="Y259" s="86"/>
      <c r="Z259" s="86"/>
      <c r="AA259" s="86" t="s">
        <v>85</v>
      </c>
      <c r="AB259" s="86" t="s">
        <v>16</v>
      </c>
      <c r="AC259" s="86">
        <v>3</v>
      </c>
      <c r="AD259" s="92" t="s">
        <v>3755</v>
      </c>
      <c r="AE259" s="52" t="s">
        <v>3874</v>
      </c>
      <c r="AF259" s="92" t="s">
        <v>37</v>
      </c>
      <c r="AG259" s="743">
        <v>44162</v>
      </c>
      <c r="AH259" s="92"/>
      <c r="AI259" s="86"/>
      <c r="AJ259" s="1108"/>
    </row>
    <row r="260" spans="1:36" ht="27" thickBot="1" x14ac:dyDescent="0.3">
      <c r="A260" s="488"/>
      <c r="B260" s="131"/>
      <c r="C260" s="75"/>
      <c r="D260" s="568"/>
      <c r="E260" s="568"/>
      <c r="F260" s="118"/>
      <c r="G260" s="118"/>
      <c r="H260" s="75"/>
      <c r="I260" s="118"/>
      <c r="J260" s="121"/>
      <c r="K260" s="87">
        <v>560</v>
      </c>
      <c r="L260" s="360" t="s">
        <v>3878</v>
      </c>
      <c r="M260" s="198">
        <v>1592510.3152999999</v>
      </c>
      <c r="N260" s="198">
        <v>5335874.7618000004</v>
      </c>
      <c r="O260" s="83" t="s">
        <v>41</v>
      </c>
      <c r="P260" s="83">
        <v>1</v>
      </c>
      <c r="Q260" s="360" t="s">
        <v>2156</v>
      </c>
      <c r="R260" s="88" t="s">
        <v>2156</v>
      </c>
      <c r="S260" s="428" t="s">
        <v>47</v>
      </c>
      <c r="T260" s="243" t="s">
        <v>3753</v>
      </c>
      <c r="U260" s="86"/>
      <c r="V260" s="86">
        <v>973</v>
      </c>
      <c r="W260" s="86">
        <v>1285</v>
      </c>
      <c r="X260" s="86"/>
      <c r="Y260" s="86">
        <v>3826</v>
      </c>
      <c r="Z260" s="86">
        <v>6089</v>
      </c>
      <c r="AA260" s="86" t="s">
        <v>85</v>
      </c>
      <c r="AB260" s="86" t="s">
        <v>85</v>
      </c>
      <c r="AC260" s="86">
        <v>3</v>
      </c>
      <c r="AD260" s="92" t="s">
        <v>3754</v>
      </c>
      <c r="AE260" s="52" t="s">
        <v>3874</v>
      </c>
      <c r="AF260" s="92" t="s">
        <v>37</v>
      </c>
      <c r="AG260" s="743">
        <v>44162</v>
      </c>
      <c r="AH260" s="92"/>
      <c r="AI260" s="86"/>
      <c r="AJ260" s="1108"/>
    </row>
    <row r="261" spans="1:36" ht="39.75" thickBot="1" x14ac:dyDescent="0.3">
      <c r="A261" s="488"/>
      <c r="B261" s="131"/>
      <c r="C261" s="75"/>
      <c r="D261" s="568"/>
      <c r="E261" s="568"/>
      <c r="F261" s="118"/>
      <c r="G261" s="118"/>
      <c r="H261" s="75"/>
      <c r="I261" s="118"/>
      <c r="J261" s="121"/>
      <c r="K261" s="87">
        <v>561</v>
      </c>
      <c r="L261" s="360" t="s">
        <v>3760</v>
      </c>
      <c r="M261" s="198">
        <v>1592638.08</v>
      </c>
      <c r="N261" s="198">
        <v>5335042.7774999999</v>
      </c>
      <c r="O261" s="83" t="s">
        <v>41</v>
      </c>
      <c r="P261" s="83">
        <v>1</v>
      </c>
      <c r="Q261" s="360" t="s">
        <v>2156</v>
      </c>
      <c r="R261" s="88" t="s">
        <v>2156</v>
      </c>
      <c r="S261" s="38" t="s">
        <v>47</v>
      </c>
      <c r="T261" s="39" t="s">
        <v>3761</v>
      </c>
      <c r="U261" s="31"/>
      <c r="V261" s="31">
        <v>4453</v>
      </c>
      <c r="W261" s="31">
        <v>4195</v>
      </c>
      <c r="X261" s="31"/>
      <c r="Y261" s="31"/>
      <c r="Z261" s="31"/>
      <c r="AA261" s="31" t="s">
        <v>85</v>
      </c>
      <c r="AB261" s="31" t="s">
        <v>85</v>
      </c>
      <c r="AC261" s="31">
        <v>3</v>
      </c>
      <c r="AD261" s="40" t="s">
        <v>3762</v>
      </c>
      <c r="AE261" s="52" t="s">
        <v>3874</v>
      </c>
      <c r="AF261" s="40" t="s">
        <v>37</v>
      </c>
      <c r="AG261" s="744">
        <v>44162</v>
      </c>
      <c r="AH261" s="40"/>
      <c r="AI261" s="31"/>
      <c r="AJ261" s="652"/>
    </row>
    <row r="262" spans="1:36" ht="51.75" x14ac:dyDescent="0.25">
      <c r="A262" s="488"/>
      <c r="B262" s="131"/>
      <c r="C262" s="75"/>
      <c r="D262" s="568"/>
      <c r="E262" s="568"/>
      <c r="F262" s="118"/>
      <c r="G262" s="118"/>
      <c r="H262" s="75"/>
      <c r="I262" s="118"/>
      <c r="J262" s="121"/>
      <c r="K262" s="187" t="s">
        <v>2156</v>
      </c>
      <c r="L262" s="73" t="s">
        <v>3783</v>
      </c>
      <c r="M262" s="914" t="s">
        <v>2156</v>
      </c>
      <c r="N262" s="914" t="s">
        <v>2156</v>
      </c>
      <c r="O262" s="129" t="s">
        <v>3793</v>
      </c>
      <c r="P262" s="72">
        <v>2</v>
      </c>
      <c r="Q262" s="73" t="s">
        <v>3794</v>
      </c>
      <c r="R262" s="74" t="s">
        <v>85</v>
      </c>
      <c r="S262" s="38" t="s">
        <v>47</v>
      </c>
      <c r="T262" s="39" t="s">
        <v>3784</v>
      </c>
      <c r="U262" s="31">
        <v>597</v>
      </c>
      <c r="V262" s="31">
        <f>597-102</f>
        <v>495</v>
      </c>
      <c r="W262" s="31">
        <f>597+131</f>
        <v>728</v>
      </c>
      <c r="X262" s="31">
        <v>522</v>
      </c>
      <c r="Y262" s="31">
        <f>522-147</f>
        <v>375</v>
      </c>
      <c r="Z262" s="31">
        <f>522+92</f>
        <v>614</v>
      </c>
      <c r="AA262" s="31" t="s">
        <v>16</v>
      </c>
      <c r="AB262" s="31" t="s">
        <v>16</v>
      </c>
      <c r="AC262" s="31">
        <v>2</v>
      </c>
      <c r="AD262" s="40" t="s">
        <v>3786</v>
      </c>
      <c r="AE262" s="40" t="s">
        <v>3752</v>
      </c>
      <c r="AF262" s="40" t="s">
        <v>37</v>
      </c>
      <c r="AG262" s="744">
        <v>44162</v>
      </c>
      <c r="AH262" s="40"/>
      <c r="AI262" s="31"/>
      <c r="AJ262" s="652"/>
    </row>
    <row r="263" spans="1:36" ht="39.75" thickBot="1" x14ac:dyDescent="0.3">
      <c r="A263" s="488"/>
      <c r="B263" s="131"/>
      <c r="C263" s="75"/>
      <c r="D263" s="568"/>
      <c r="E263" s="568"/>
      <c r="F263" s="118"/>
      <c r="G263" s="118"/>
      <c r="H263" s="75"/>
      <c r="I263" s="118"/>
      <c r="J263" s="121"/>
      <c r="K263" s="192"/>
      <c r="L263" s="79"/>
      <c r="M263" s="916"/>
      <c r="N263" s="916"/>
      <c r="O263" s="78"/>
      <c r="P263" s="78"/>
      <c r="Q263" s="79"/>
      <c r="R263" s="80"/>
      <c r="S263" s="48" t="s">
        <v>91</v>
      </c>
      <c r="T263" s="49" t="s">
        <v>3787</v>
      </c>
      <c r="U263" s="25"/>
      <c r="V263" s="25">
        <v>4200</v>
      </c>
      <c r="W263" s="25">
        <v>4800</v>
      </c>
      <c r="X263" s="25">
        <v>2400</v>
      </c>
      <c r="Y263" s="25"/>
      <c r="Z263" s="25"/>
      <c r="AA263" s="25" t="s">
        <v>85</v>
      </c>
      <c r="AB263" s="25" t="s">
        <v>16</v>
      </c>
      <c r="AC263" s="25">
        <v>3</v>
      </c>
      <c r="AD263" s="52" t="s">
        <v>3785</v>
      </c>
      <c r="AE263" s="52" t="s">
        <v>3752</v>
      </c>
      <c r="AF263" s="52" t="s">
        <v>37</v>
      </c>
      <c r="AG263" s="745">
        <v>44162</v>
      </c>
      <c r="AH263" s="52"/>
      <c r="AI263" s="25"/>
      <c r="AJ263" s="653"/>
    </row>
    <row r="264" spans="1:36" ht="26.25" x14ac:dyDescent="0.25">
      <c r="A264" s="488"/>
      <c r="B264" s="131"/>
      <c r="C264" s="75"/>
      <c r="D264" s="568"/>
      <c r="E264" s="568"/>
      <c r="F264" s="118"/>
      <c r="G264" s="118"/>
      <c r="H264" s="75"/>
      <c r="I264" s="118"/>
      <c r="J264" s="121"/>
      <c r="K264" s="187" t="s">
        <v>2156</v>
      </c>
      <c r="L264" s="73" t="s">
        <v>3788</v>
      </c>
      <c r="M264" s="914" t="s">
        <v>2156</v>
      </c>
      <c r="N264" s="914" t="s">
        <v>2156</v>
      </c>
      <c r="O264" s="129" t="s">
        <v>3795</v>
      </c>
      <c r="P264" s="72">
        <v>2</v>
      </c>
      <c r="Q264" s="73" t="s">
        <v>3794</v>
      </c>
      <c r="R264" s="74" t="s">
        <v>85</v>
      </c>
      <c r="S264" s="42" t="s">
        <v>47</v>
      </c>
      <c r="T264" s="43" t="s">
        <v>3789</v>
      </c>
      <c r="U264" s="24">
        <v>873</v>
      </c>
      <c r="V264" s="24">
        <f>873-197</f>
        <v>676</v>
      </c>
      <c r="W264" s="24">
        <f>873+209</f>
        <v>1082</v>
      </c>
      <c r="X264" s="24">
        <v>751</v>
      </c>
      <c r="Y264" s="24">
        <f>751-84</f>
        <v>667</v>
      </c>
      <c r="Z264" s="24">
        <f>751+174</f>
        <v>925</v>
      </c>
      <c r="AA264" s="24" t="s">
        <v>16</v>
      </c>
      <c r="AB264" s="24" t="s">
        <v>16</v>
      </c>
      <c r="AC264" s="24">
        <v>2</v>
      </c>
      <c r="AD264" s="46" t="s">
        <v>3790</v>
      </c>
      <c r="AE264" s="46" t="s">
        <v>3752</v>
      </c>
      <c r="AF264" s="46" t="s">
        <v>37</v>
      </c>
      <c r="AG264" s="746">
        <v>44162</v>
      </c>
      <c r="AH264" s="46"/>
      <c r="AI264" s="24"/>
      <c r="AJ264" s="1107"/>
    </row>
    <row r="265" spans="1:36" ht="52.5" thickBot="1" x14ac:dyDescent="0.3">
      <c r="A265" s="489"/>
      <c r="B265" s="133"/>
      <c r="C265" s="78"/>
      <c r="D265" s="569"/>
      <c r="E265" s="569"/>
      <c r="F265" s="119"/>
      <c r="G265" s="119"/>
      <c r="H265" s="78"/>
      <c r="I265" s="119"/>
      <c r="J265" s="429"/>
      <c r="K265" s="192"/>
      <c r="L265" s="79"/>
      <c r="M265" s="916"/>
      <c r="N265" s="916"/>
      <c r="O265" s="78"/>
      <c r="P265" s="78"/>
      <c r="Q265" s="79"/>
      <c r="R265" s="80"/>
      <c r="S265" s="48" t="s">
        <v>91</v>
      </c>
      <c r="T265" s="49" t="s">
        <v>3791</v>
      </c>
      <c r="U265" s="25">
        <v>2923</v>
      </c>
      <c r="V265" s="25">
        <f>2923-153</f>
        <v>2770</v>
      </c>
      <c r="W265" s="25">
        <f>2923+255</f>
        <v>3178</v>
      </c>
      <c r="X265" s="25">
        <v>1296</v>
      </c>
      <c r="Y265" s="25">
        <f>1296-228</f>
        <v>1068</v>
      </c>
      <c r="Z265" s="25">
        <f>1296+226</f>
        <v>1522</v>
      </c>
      <c r="AA265" s="25" t="s">
        <v>85</v>
      </c>
      <c r="AB265" s="25" t="s">
        <v>16</v>
      </c>
      <c r="AC265" s="25">
        <v>3</v>
      </c>
      <c r="AD265" s="52" t="s">
        <v>3792</v>
      </c>
      <c r="AE265" s="52" t="s">
        <v>3752</v>
      </c>
      <c r="AF265" s="52" t="s">
        <v>37</v>
      </c>
      <c r="AG265" s="745">
        <v>44162</v>
      </c>
      <c r="AH265" s="52"/>
      <c r="AI265" s="25"/>
      <c r="AJ265" s="653"/>
    </row>
    <row r="266" spans="1:36" ht="39" x14ac:dyDescent="0.25">
      <c r="A266" s="341" t="s">
        <v>2848</v>
      </c>
      <c r="B266" s="181" t="s">
        <v>2848</v>
      </c>
      <c r="C266" s="125">
        <v>183</v>
      </c>
      <c r="D266" s="585" t="s">
        <v>57</v>
      </c>
      <c r="E266" s="585"/>
      <c r="F266" s="126"/>
      <c r="G266" s="126"/>
      <c r="H266" s="125"/>
      <c r="I266" s="126"/>
      <c r="J266" s="247"/>
      <c r="K266" s="189">
        <v>961</v>
      </c>
      <c r="L266" s="355" t="s">
        <v>6993</v>
      </c>
      <c r="M266" s="911">
        <v>1925627.834</v>
      </c>
      <c r="N266" s="911">
        <v>5786533.9593000002</v>
      </c>
      <c r="O266" s="125">
        <v>5500</v>
      </c>
      <c r="P266" s="125">
        <v>2</v>
      </c>
      <c r="Q266" s="355" t="s">
        <v>6999</v>
      </c>
      <c r="R266" s="134" t="s">
        <v>85</v>
      </c>
      <c r="S266" s="38" t="s">
        <v>47</v>
      </c>
      <c r="T266" s="39" t="s">
        <v>6996</v>
      </c>
      <c r="U266" s="31">
        <v>4800</v>
      </c>
      <c r="V266" s="31"/>
      <c r="W266" s="31"/>
      <c r="X266" s="31"/>
      <c r="Y266" s="31"/>
      <c r="Z266" s="31"/>
      <c r="AA266" s="31" t="s">
        <v>16</v>
      </c>
      <c r="AB266" s="31" t="s">
        <v>16</v>
      </c>
      <c r="AC266" s="31">
        <v>2</v>
      </c>
      <c r="AD266" s="40" t="s">
        <v>7000</v>
      </c>
      <c r="AE266" s="40" t="s">
        <v>6997</v>
      </c>
      <c r="AF266" s="40" t="s">
        <v>37</v>
      </c>
      <c r="AG266" s="744">
        <v>44347</v>
      </c>
      <c r="AH266" s="40"/>
      <c r="AI266" s="31"/>
      <c r="AJ266" s="652"/>
    </row>
    <row r="267" spans="1:36" ht="52.5" thickBot="1" x14ac:dyDescent="0.3">
      <c r="A267" s="339"/>
      <c r="B267" s="116"/>
      <c r="C267" s="95"/>
      <c r="D267" s="567"/>
      <c r="E267" s="567"/>
      <c r="F267" s="108"/>
      <c r="G267" s="108"/>
      <c r="H267" s="95"/>
      <c r="I267" s="108"/>
      <c r="J267" s="122"/>
      <c r="K267" s="190"/>
      <c r="L267" s="357"/>
      <c r="M267" s="912"/>
      <c r="N267" s="912"/>
      <c r="O267" s="96"/>
      <c r="P267" s="96"/>
      <c r="Q267" s="357"/>
      <c r="R267" s="100"/>
      <c r="S267" s="48" t="s">
        <v>91</v>
      </c>
      <c r="T267" s="49" t="s">
        <v>6995</v>
      </c>
      <c r="U267" s="25">
        <v>8800</v>
      </c>
      <c r="V267" s="25"/>
      <c r="W267" s="25"/>
      <c r="X267" s="25">
        <v>4800</v>
      </c>
      <c r="Y267" s="25"/>
      <c r="Z267" s="25"/>
      <c r="AA267" s="25" t="s">
        <v>16</v>
      </c>
      <c r="AB267" s="25" t="s">
        <v>16</v>
      </c>
      <c r="AC267" s="25">
        <v>2</v>
      </c>
      <c r="AD267" s="52" t="s">
        <v>7001</v>
      </c>
      <c r="AE267" s="52" t="s">
        <v>6997</v>
      </c>
      <c r="AF267" s="52" t="s">
        <v>37</v>
      </c>
      <c r="AG267" s="745">
        <v>44347</v>
      </c>
      <c r="AH267" s="52"/>
      <c r="AI267" s="25"/>
      <c r="AJ267" s="653"/>
    </row>
    <row r="268" spans="1:36" ht="39.75" thickBot="1" x14ac:dyDescent="0.3">
      <c r="A268" s="336"/>
      <c r="B268" s="196"/>
      <c r="C268" s="96"/>
      <c r="D268" s="566"/>
      <c r="E268" s="566"/>
      <c r="F268" s="107"/>
      <c r="G268" s="107"/>
      <c r="H268" s="96"/>
      <c r="I268" s="107"/>
      <c r="J268" s="123"/>
      <c r="K268" s="89">
        <v>962</v>
      </c>
      <c r="L268" s="396" t="s">
        <v>6994</v>
      </c>
      <c r="M268" s="265">
        <v>1925693.2944</v>
      </c>
      <c r="N268" s="265">
        <v>5786554.483</v>
      </c>
      <c r="O268" s="84" t="s">
        <v>41</v>
      </c>
      <c r="P268" s="84">
        <v>1</v>
      </c>
      <c r="Q268" s="396" t="s">
        <v>2156</v>
      </c>
      <c r="R268" s="90" t="s">
        <v>2156</v>
      </c>
      <c r="S268" s="428" t="s">
        <v>47</v>
      </c>
      <c r="T268" s="243" t="s">
        <v>6996</v>
      </c>
      <c r="U268" s="86">
        <v>4800</v>
      </c>
      <c r="V268" s="86"/>
      <c r="W268" s="86"/>
      <c r="X268" s="86"/>
      <c r="Y268" s="86"/>
      <c r="Z268" s="86"/>
      <c r="AA268" s="86" t="s">
        <v>16</v>
      </c>
      <c r="AB268" s="86" t="s">
        <v>16</v>
      </c>
      <c r="AC268" s="86">
        <v>2</v>
      </c>
      <c r="AD268" s="92" t="s">
        <v>7000</v>
      </c>
      <c r="AE268" s="92" t="s">
        <v>6997</v>
      </c>
      <c r="AF268" s="92" t="s">
        <v>37</v>
      </c>
      <c r="AG268" s="743">
        <v>44347</v>
      </c>
      <c r="AH268" s="92"/>
      <c r="AI268" s="86"/>
      <c r="AJ268" s="1108"/>
    </row>
    <row r="269" spans="1:36" ht="90" x14ac:dyDescent="0.25">
      <c r="A269" s="487" t="s">
        <v>1526</v>
      </c>
      <c r="B269" s="128" t="s">
        <v>1526</v>
      </c>
      <c r="C269" s="72">
        <v>396</v>
      </c>
      <c r="D269" s="586" t="s">
        <v>53</v>
      </c>
      <c r="E269" s="586" t="s">
        <v>57</v>
      </c>
      <c r="F269" s="129"/>
      <c r="G269" s="129"/>
      <c r="H269" s="72"/>
      <c r="I269" s="129"/>
      <c r="J269" s="381"/>
      <c r="K269" s="187">
        <v>1109</v>
      </c>
      <c r="L269" s="73" t="s">
        <v>1476</v>
      </c>
      <c r="M269" s="914">
        <v>1811508.4665999999</v>
      </c>
      <c r="N269" s="914">
        <v>5458065.5813999996</v>
      </c>
      <c r="O269" s="129" t="s">
        <v>41</v>
      </c>
      <c r="P269" s="140" t="s">
        <v>4668</v>
      </c>
      <c r="Q269" s="73" t="s">
        <v>2156</v>
      </c>
      <c r="R269" s="74" t="s">
        <v>2156</v>
      </c>
      <c r="S269" s="656" t="s">
        <v>47</v>
      </c>
      <c r="T269" s="340" t="s">
        <v>7042</v>
      </c>
      <c r="U269" s="31"/>
      <c r="V269" s="31">
        <v>1020</v>
      </c>
      <c r="W269" s="31">
        <v>1765</v>
      </c>
      <c r="X269" s="31"/>
      <c r="Y269" s="31">
        <v>288</v>
      </c>
      <c r="Z269" s="31">
        <v>514</v>
      </c>
      <c r="AA269" s="31" t="s">
        <v>16</v>
      </c>
      <c r="AB269" s="31" t="s">
        <v>16</v>
      </c>
      <c r="AC269" s="31">
        <v>2</v>
      </c>
      <c r="AD269" s="30" t="s">
        <v>7455</v>
      </c>
      <c r="AE269" s="40" t="s">
        <v>1471</v>
      </c>
      <c r="AF269" s="40" t="s">
        <v>1380</v>
      </c>
      <c r="AG269" s="744">
        <v>44242</v>
      </c>
      <c r="AH269" s="40"/>
      <c r="AI269" s="744">
        <v>44348</v>
      </c>
      <c r="AJ269" s="652" t="s">
        <v>37</v>
      </c>
    </row>
    <row r="270" spans="1:36" ht="39.75" thickBot="1" x14ac:dyDescent="0.3">
      <c r="A270" s="489"/>
      <c r="B270" s="133"/>
      <c r="C270" s="78"/>
      <c r="D270" s="569"/>
      <c r="E270" s="569"/>
      <c r="F270" s="119"/>
      <c r="G270" s="119"/>
      <c r="H270" s="78"/>
      <c r="I270" s="119"/>
      <c r="J270" s="429"/>
      <c r="K270" s="192"/>
      <c r="L270" s="79"/>
      <c r="M270" s="916"/>
      <c r="N270" s="916"/>
      <c r="O270" s="78"/>
      <c r="P270" s="78"/>
      <c r="Q270" s="79"/>
      <c r="R270" s="80"/>
      <c r="S270" s="657" t="s">
        <v>91</v>
      </c>
      <c r="T270" s="335" t="s">
        <v>7043</v>
      </c>
      <c r="U270" s="25"/>
      <c r="V270" s="25" t="s">
        <v>7044</v>
      </c>
      <c r="W270" s="25" t="s">
        <v>7045</v>
      </c>
      <c r="X270" s="25" t="s">
        <v>7046</v>
      </c>
      <c r="Y270" s="25"/>
      <c r="Z270" s="25"/>
      <c r="AA270" s="25" t="s">
        <v>85</v>
      </c>
      <c r="AB270" s="25" t="s">
        <v>85</v>
      </c>
      <c r="AC270" s="25">
        <v>3</v>
      </c>
      <c r="AD270" s="51" t="s">
        <v>7456</v>
      </c>
      <c r="AE270" s="52" t="s">
        <v>1471</v>
      </c>
      <c r="AF270" s="52" t="s">
        <v>1380</v>
      </c>
      <c r="AG270" s="745">
        <v>44242</v>
      </c>
      <c r="AH270" s="52"/>
      <c r="AI270" s="745">
        <v>44348</v>
      </c>
      <c r="AJ270" s="653" t="s">
        <v>37</v>
      </c>
    </row>
    <row r="271" spans="1:36" ht="65.25" thickBot="1" x14ac:dyDescent="0.3">
      <c r="A271" s="341" t="s">
        <v>566</v>
      </c>
      <c r="B271" s="181" t="s">
        <v>6803</v>
      </c>
      <c r="C271" s="125">
        <v>543</v>
      </c>
      <c r="D271" s="585" t="s">
        <v>53</v>
      </c>
      <c r="E271" s="585"/>
      <c r="F271" s="126"/>
      <c r="G271" s="126"/>
      <c r="H271" s="125"/>
      <c r="I271" s="126"/>
      <c r="J271" s="247"/>
      <c r="K271" s="89">
        <v>661</v>
      </c>
      <c r="L271" s="396" t="s">
        <v>4203</v>
      </c>
      <c r="M271" s="265">
        <v>1627399.5016000001</v>
      </c>
      <c r="N271" s="265">
        <v>5329514.4340000004</v>
      </c>
      <c r="O271" s="84" t="s">
        <v>41</v>
      </c>
      <c r="P271" s="149" t="s">
        <v>4204</v>
      </c>
      <c r="Q271" s="396" t="s">
        <v>2156</v>
      </c>
      <c r="R271" s="90" t="s">
        <v>2156</v>
      </c>
      <c r="S271" s="428" t="s">
        <v>47</v>
      </c>
      <c r="T271" s="243" t="s">
        <v>4205</v>
      </c>
      <c r="U271" s="86"/>
      <c r="V271" s="86">
        <v>1900</v>
      </c>
      <c r="W271" s="86">
        <v>2000</v>
      </c>
      <c r="X271" s="86"/>
      <c r="Y271" s="86"/>
      <c r="Z271" s="86"/>
      <c r="AA271" s="86" t="s">
        <v>16</v>
      </c>
      <c r="AB271" s="86" t="s">
        <v>85</v>
      </c>
      <c r="AC271" s="86">
        <v>3</v>
      </c>
      <c r="AD271" s="92" t="s">
        <v>4208</v>
      </c>
      <c r="AE271" s="92" t="s">
        <v>7544</v>
      </c>
      <c r="AF271" s="92" t="s">
        <v>37</v>
      </c>
      <c r="AG271" s="743">
        <v>44209</v>
      </c>
      <c r="AH271" s="92"/>
      <c r="AI271" s="86"/>
      <c r="AJ271" s="1108"/>
    </row>
    <row r="272" spans="1:36" ht="39.75" thickBot="1" x14ac:dyDescent="0.3">
      <c r="A272" s="336"/>
      <c r="B272" s="196"/>
      <c r="C272" s="96"/>
      <c r="D272" s="566"/>
      <c r="E272" s="566"/>
      <c r="F272" s="107"/>
      <c r="G272" s="107"/>
      <c r="H272" s="96"/>
      <c r="I272" s="107"/>
      <c r="J272" s="123"/>
      <c r="K272" s="89">
        <v>662</v>
      </c>
      <c r="L272" s="396" t="s">
        <v>4206</v>
      </c>
      <c r="M272" s="265">
        <v>1626960.1772</v>
      </c>
      <c r="N272" s="265">
        <v>5329630.1754999999</v>
      </c>
      <c r="O272" s="84" t="s">
        <v>41</v>
      </c>
      <c r="P272" s="84">
        <v>1</v>
      </c>
      <c r="Q272" s="396" t="s">
        <v>2156</v>
      </c>
      <c r="R272" s="90" t="s">
        <v>2156</v>
      </c>
      <c r="S272" s="428" t="s">
        <v>47</v>
      </c>
      <c r="T272" s="243" t="s">
        <v>4207</v>
      </c>
      <c r="U272" s="86">
        <v>1575</v>
      </c>
      <c r="V272" s="86">
        <v>1012</v>
      </c>
      <c r="W272" s="86">
        <v>2166</v>
      </c>
      <c r="X272" s="86"/>
      <c r="Y272" s="86"/>
      <c r="Z272" s="86"/>
      <c r="AA272" s="86" t="s">
        <v>16</v>
      </c>
      <c r="AB272" s="86" t="s">
        <v>16</v>
      </c>
      <c r="AC272" s="86">
        <v>2</v>
      </c>
      <c r="AD272" s="92" t="s">
        <v>4209</v>
      </c>
      <c r="AE272" s="92" t="s">
        <v>7544</v>
      </c>
      <c r="AF272" s="92" t="s">
        <v>37</v>
      </c>
      <c r="AG272" s="743">
        <v>44209</v>
      </c>
      <c r="AH272" s="92"/>
      <c r="AI272" s="86"/>
      <c r="AJ272" s="1108"/>
    </row>
    <row r="273" spans="1:36" ht="39" x14ac:dyDescent="0.25">
      <c r="A273" s="1114" t="s">
        <v>566</v>
      </c>
      <c r="B273" s="780" t="s">
        <v>6804</v>
      </c>
      <c r="C273" s="431">
        <v>542</v>
      </c>
      <c r="D273" s="780" t="s">
        <v>53</v>
      </c>
      <c r="E273" s="780" t="s">
        <v>52</v>
      </c>
      <c r="F273" s="159"/>
      <c r="G273" s="159"/>
      <c r="H273" s="157"/>
      <c r="I273" s="159"/>
      <c r="J273" s="450"/>
      <c r="K273" s="193">
        <v>627</v>
      </c>
      <c r="L273" s="433" t="s">
        <v>4006</v>
      </c>
      <c r="M273" s="924">
        <v>1653176.1635</v>
      </c>
      <c r="N273" s="924">
        <v>5342922.3709000004</v>
      </c>
      <c r="O273" s="157" t="s">
        <v>41</v>
      </c>
      <c r="P273" s="157" t="s">
        <v>4020</v>
      </c>
      <c r="Q273" s="433" t="s">
        <v>2156</v>
      </c>
      <c r="R273" s="160" t="s">
        <v>2156</v>
      </c>
      <c r="S273" s="38" t="s">
        <v>47</v>
      </c>
      <c r="T273" s="39" t="s">
        <v>4009</v>
      </c>
      <c r="U273" s="31"/>
      <c r="V273" s="31">
        <v>1560</v>
      </c>
      <c r="W273" s="31">
        <v>1880</v>
      </c>
      <c r="X273" s="31"/>
      <c r="Y273" s="31">
        <v>780</v>
      </c>
      <c r="Z273" s="31">
        <v>980</v>
      </c>
      <c r="AA273" s="31" t="s">
        <v>16</v>
      </c>
      <c r="AB273" s="31" t="s">
        <v>10</v>
      </c>
      <c r="AC273" s="31">
        <v>2</v>
      </c>
      <c r="AD273" s="40" t="s">
        <v>4007</v>
      </c>
      <c r="AE273" s="40" t="s">
        <v>4003</v>
      </c>
      <c r="AF273" s="40" t="s">
        <v>37</v>
      </c>
      <c r="AG273" s="744">
        <v>44176</v>
      </c>
      <c r="AH273" s="40"/>
      <c r="AI273" s="31"/>
      <c r="AJ273" s="652"/>
    </row>
    <row r="274" spans="1:36" ht="51.75" x14ac:dyDescent="0.25">
      <c r="A274" s="808"/>
      <c r="B274" s="550"/>
      <c r="C274" s="161"/>
      <c r="D274" s="573"/>
      <c r="E274" s="573"/>
      <c r="F274" s="163"/>
      <c r="G274" s="163"/>
      <c r="H274" s="161"/>
      <c r="I274" s="163"/>
      <c r="J274" s="423"/>
      <c r="K274" s="194"/>
      <c r="L274" s="434"/>
      <c r="M274" s="919"/>
      <c r="N274" s="919"/>
      <c r="O274" s="161"/>
      <c r="P274" s="161"/>
      <c r="Q274" s="434"/>
      <c r="R274" s="164"/>
      <c r="S274" s="42" t="s">
        <v>91</v>
      </c>
      <c r="T274" s="43" t="s">
        <v>4010</v>
      </c>
      <c r="U274" s="24"/>
      <c r="V274" s="24">
        <v>3080</v>
      </c>
      <c r="W274" s="24">
        <v>3370</v>
      </c>
      <c r="X274" s="24"/>
      <c r="Y274" s="24">
        <v>1560</v>
      </c>
      <c r="Z274" s="24">
        <v>1880</v>
      </c>
      <c r="AA274" s="24" t="s">
        <v>16</v>
      </c>
      <c r="AB274" s="24" t="s">
        <v>10</v>
      </c>
      <c r="AC274" s="24">
        <v>2</v>
      </c>
      <c r="AD274" s="46" t="s">
        <v>4014</v>
      </c>
      <c r="AE274" s="46" t="s">
        <v>4003</v>
      </c>
      <c r="AF274" s="46" t="s">
        <v>37</v>
      </c>
      <c r="AG274" s="746">
        <v>44176</v>
      </c>
      <c r="AH274" s="46"/>
      <c r="AI274" s="24"/>
      <c r="AJ274" s="1107"/>
    </row>
    <row r="275" spans="1:36" ht="39" x14ac:dyDescent="0.25">
      <c r="A275" s="808"/>
      <c r="B275" s="550"/>
      <c r="C275" s="161"/>
      <c r="D275" s="573"/>
      <c r="E275" s="573"/>
      <c r="F275" s="163"/>
      <c r="G275" s="163"/>
      <c r="H275" s="161"/>
      <c r="I275" s="163"/>
      <c r="J275" s="423"/>
      <c r="K275" s="194"/>
      <c r="L275" s="434"/>
      <c r="M275" s="919"/>
      <c r="N275" s="919"/>
      <c r="O275" s="161"/>
      <c r="P275" s="161"/>
      <c r="Q275" s="434"/>
      <c r="R275" s="164"/>
      <c r="S275" s="42" t="s">
        <v>92</v>
      </c>
      <c r="T275" s="43" t="s">
        <v>4008</v>
      </c>
      <c r="U275" s="24"/>
      <c r="V275" s="24">
        <v>6350</v>
      </c>
      <c r="W275" s="24">
        <v>6720</v>
      </c>
      <c r="X275" s="24"/>
      <c r="Y275" s="24">
        <v>3080</v>
      </c>
      <c r="Z275" s="24">
        <v>3370</v>
      </c>
      <c r="AA275" s="24" t="s">
        <v>16</v>
      </c>
      <c r="AB275" s="24" t="s">
        <v>10</v>
      </c>
      <c r="AC275" s="24">
        <v>2</v>
      </c>
      <c r="AD275" s="46" t="s">
        <v>4007</v>
      </c>
      <c r="AE275" s="46" t="s">
        <v>4003</v>
      </c>
      <c r="AF275" s="46" t="s">
        <v>37</v>
      </c>
      <c r="AG275" s="746">
        <v>44176</v>
      </c>
      <c r="AH275" s="46"/>
      <c r="AI275" s="24"/>
      <c r="AJ275" s="1107"/>
    </row>
    <row r="276" spans="1:36" ht="65.25" thickBot="1" x14ac:dyDescent="0.3">
      <c r="A276" s="808"/>
      <c r="B276" s="550"/>
      <c r="C276" s="161"/>
      <c r="D276" s="573"/>
      <c r="E276" s="573"/>
      <c r="F276" s="163"/>
      <c r="G276" s="163"/>
      <c r="H276" s="161"/>
      <c r="I276" s="163"/>
      <c r="J276" s="423"/>
      <c r="K276" s="195"/>
      <c r="L276" s="435"/>
      <c r="M276" s="925"/>
      <c r="N276" s="925"/>
      <c r="O276" s="165"/>
      <c r="P276" s="165"/>
      <c r="Q276" s="435"/>
      <c r="R276" s="168"/>
      <c r="S276" s="48" t="s">
        <v>99</v>
      </c>
      <c r="T276" s="49" t="s">
        <v>4011</v>
      </c>
      <c r="U276" s="25"/>
      <c r="V276" s="25"/>
      <c r="W276" s="25"/>
      <c r="X276" s="25"/>
      <c r="Y276" s="25">
        <v>6560</v>
      </c>
      <c r="Z276" s="25">
        <v>6880</v>
      </c>
      <c r="AA276" s="25" t="s">
        <v>16</v>
      </c>
      <c r="AB276" s="25" t="s">
        <v>16</v>
      </c>
      <c r="AC276" s="25">
        <v>2</v>
      </c>
      <c r="AD276" s="52" t="s">
        <v>4012</v>
      </c>
      <c r="AE276" s="52" t="s">
        <v>4003</v>
      </c>
      <c r="AF276" s="52" t="s">
        <v>37</v>
      </c>
      <c r="AG276" s="745">
        <v>44176</v>
      </c>
      <c r="AH276" s="52"/>
      <c r="AI276" s="25"/>
      <c r="AJ276" s="653"/>
    </row>
    <row r="277" spans="1:36" ht="39" x14ac:dyDescent="0.25">
      <c r="A277" s="808"/>
      <c r="B277" s="550"/>
      <c r="C277" s="161"/>
      <c r="D277" s="573"/>
      <c r="E277" s="573"/>
      <c r="F277" s="163"/>
      <c r="G277" s="163"/>
      <c r="H277" s="161"/>
      <c r="I277" s="163"/>
      <c r="J277" s="423"/>
      <c r="K277" s="193">
        <v>628</v>
      </c>
      <c r="L277" s="433" t="s">
        <v>4013</v>
      </c>
      <c r="M277" s="924">
        <v>1648911.9645</v>
      </c>
      <c r="N277" s="924">
        <v>5340103.3421</v>
      </c>
      <c r="O277" s="157" t="s">
        <v>41</v>
      </c>
      <c r="P277" s="157" t="s">
        <v>4019</v>
      </c>
      <c r="Q277" s="433" t="s">
        <v>2156</v>
      </c>
      <c r="R277" s="160" t="s">
        <v>2156</v>
      </c>
      <c r="S277" s="38" t="s">
        <v>47</v>
      </c>
      <c r="T277" s="39" t="s">
        <v>4015</v>
      </c>
      <c r="U277" s="31"/>
      <c r="V277" s="31">
        <v>3410</v>
      </c>
      <c r="W277" s="31">
        <v>3680</v>
      </c>
      <c r="X277" s="31"/>
      <c r="Y277" s="31">
        <v>1700</v>
      </c>
      <c r="Z277" s="31">
        <v>1950</v>
      </c>
      <c r="AA277" s="31" t="s">
        <v>16</v>
      </c>
      <c r="AB277" s="31" t="s">
        <v>10</v>
      </c>
      <c r="AC277" s="31">
        <v>2</v>
      </c>
      <c r="AD277" s="40" t="s">
        <v>4007</v>
      </c>
      <c r="AE277" s="40" t="s">
        <v>4003</v>
      </c>
      <c r="AF277" s="40" t="s">
        <v>37</v>
      </c>
      <c r="AG277" s="744">
        <v>44176</v>
      </c>
      <c r="AH277" s="40"/>
      <c r="AI277" s="31"/>
      <c r="AJ277" s="652"/>
    </row>
    <row r="278" spans="1:36" ht="52.5" thickBot="1" x14ac:dyDescent="0.3">
      <c r="A278" s="808"/>
      <c r="B278" s="550"/>
      <c r="C278" s="161"/>
      <c r="D278" s="573"/>
      <c r="E278" s="573"/>
      <c r="F278" s="163"/>
      <c r="G278" s="163"/>
      <c r="H278" s="161"/>
      <c r="I278" s="163"/>
      <c r="J278" s="423"/>
      <c r="K278" s="195"/>
      <c r="L278" s="435"/>
      <c r="M278" s="925"/>
      <c r="N278" s="925"/>
      <c r="O278" s="165"/>
      <c r="P278" s="165"/>
      <c r="Q278" s="435"/>
      <c r="R278" s="168"/>
      <c r="S278" s="48" t="s">
        <v>91</v>
      </c>
      <c r="T278" s="49" t="s">
        <v>4017</v>
      </c>
      <c r="U278" s="25"/>
      <c r="V278" s="25"/>
      <c r="W278" s="25"/>
      <c r="X278" s="25"/>
      <c r="Y278" s="25">
        <v>3570</v>
      </c>
      <c r="Z278" s="25">
        <v>3830</v>
      </c>
      <c r="AA278" s="25" t="s">
        <v>85</v>
      </c>
      <c r="AB278" s="25" t="s">
        <v>16</v>
      </c>
      <c r="AC278" s="25">
        <v>3</v>
      </c>
      <c r="AD278" s="52" t="s">
        <v>4018</v>
      </c>
      <c r="AE278" s="52" t="s">
        <v>4003</v>
      </c>
      <c r="AF278" s="52" t="s">
        <v>37</v>
      </c>
      <c r="AG278" s="745">
        <v>44176</v>
      </c>
      <c r="AH278" s="52"/>
      <c r="AI278" s="25"/>
      <c r="AJ278" s="653"/>
    </row>
    <row r="279" spans="1:36" ht="39.75" thickBot="1" x14ac:dyDescent="0.3">
      <c r="A279" s="808"/>
      <c r="B279" s="550"/>
      <c r="C279" s="161"/>
      <c r="D279" s="573"/>
      <c r="E279" s="573"/>
      <c r="F279" s="163"/>
      <c r="G279" s="163"/>
      <c r="H279" s="161"/>
      <c r="I279" s="163"/>
      <c r="J279" s="423"/>
      <c r="K279" s="425">
        <v>629</v>
      </c>
      <c r="L279" s="472" t="s">
        <v>4021</v>
      </c>
      <c r="M279" s="934">
        <v>1648170.8452000001</v>
      </c>
      <c r="N279" s="934">
        <v>5339811.7622999996</v>
      </c>
      <c r="O279" s="248" t="s">
        <v>41</v>
      </c>
      <c r="P279" s="248">
        <v>1</v>
      </c>
      <c r="Q279" s="472" t="s">
        <v>2156</v>
      </c>
      <c r="R279" s="427" t="s">
        <v>2156</v>
      </c>
      <c r="S279" s="428" t="s">
        <v>47</v>
      </c>
      <c r="T279" s="243" t="s">
        <v>4022</v>
      </c>
      <c r="U279" s="86"/>
      <c r="V279" s="86"/>
      <c r="W279" s="86"/>
      <c r="X279" s="86"/>
      <c r="Y279" s="86">
        <v>740</v>
      </c>
      <c r="Z279" s="86">
        <v>1050</v>
      </c>
      <c r="AA279" s="86" t="s">
        <v>85</v>
      </c>
      <c r="AB279" s="86" t="s">
        <v>16</v>
      </c>
      <c r="AC279" s="86">
        <v>3</v>
      </c>
      <c r="AD279" s="92" t="s">
        <v>4023</v>
      </c>
      <c r="AE279" s="92" t="s">
        <v>4003</v>
      </c>
      <c r="AF279" s="92" t="s">
        <v>37</v>
      </c>
      <c r="AG279" s="743">
        <v>44176</v>
      </c>
      <c r="AH279" s="92"/>
      <c r="AI279" s="86"/>
      <c r="AJ279" s="1108"/>
    </row>
    <row r="280" spans="1:36" ht="39.75" thickBot="1" x14ac:dyDescent="0.3">
      <c r="A280" s="808"/>
      <c r="B280" s="550"/>
      <c r="C280" s="161"/>
      <c r="D280" s="573"/>
      <c r="E280" s="573"/>
      <c r="F280" s="163"/>
      <c r="G280" s="163"/>
      <c r="H280" s="161"/>
      <c r="I280" s="163"/>
      <c r="J280" s="423"/>
      <c r="K280" s="425">
        <v>630</v>
      </c>
      <c r="L280" s="472" t="s">
        <v>4024</v>
      </c>
      <c r="M280" s="934">
        <v>1646355.5952000001</v>
      </c>
      <c r="N280" s="934">
        <v>5338251.5416999999</v>
      </c>
      <c r="O280" s="248" t="s">
        <v>41</v>
      </c>
      <c r="P280" s="248">
        <v>1</v>
      </c>
      <c r="Q280" s="472" t="s">
        <v>2156</v>
      </c>
      <c r="R280" s="427" t="s">
        <v>2156</v>
      </c>
      <c r="S280" s="428" t="s">
        <v>47</v>
      </c>
      <c r="T280" s="243" t="s">
        <v>4025</v>
      </c>
      <c r="U280" s="86"/>
      <c r="V280" s="86"/>
      <c r="W280" s="86"/>
      <c r="X280" s="86"/>
      <c r="Y280" s="86">
        <v>560</v>
      </c>
      <c r="Z280" s="86">
        <v>680</v>
      </c>
      <c r="AA280" s="86" t="s">
        <v>85</v>
      </c>
      <c r="AB280" s="86" t="s">
        <v>16</v>
      </c>
      <c r="AC280" s="86">
        <v>3</v>
      </c>
      <c r="AD280" s="92" t="s">
        <v>4023</v>
      </c>
      <c r="AE280" s="92" t="s">
        <v>4003</v>
      </c>
      <c r="AF280" s="92" t="s">
        <v>37</v>
      </c>
      <c r="AG280" s="743">
        <v>44176</v>
      </c>
      <c r="AH280" s="92"/>
      <c r="AI280" s="86"/>
      <c r="AJ280" s="1108"/>
    </row>
    <row r="281" spans="1:36" ht="26.25" x14ac:dyDescent="0.25">
      <c r="A281" s="808"/>
      <c r="B281" s="550"/>
      <c r="C281" s="161"/>
      <c r="D281" s="573"/>
      <c r="E281" s="573"/>
      <c r="F281" s="163"/>
      <c r="G281" s="163"/>
      <c r="H281" s="161"/>
      <c r="I281" s="163"/>
      <c r="J281" s="423"/>
      <c r="K281" s="193" t="s">
        <v>2156</v>
      </c>
      <c r="L281" s="433" t="s">
        <v>4026</v>
      </c>
      <c r="M281" s="924" t="s">
        <v>2156</v>
      </c>
      <c r="N281" s="924" t="s">
        <v>2156</v>
      </c>
      <c r="O281" s="157" t="s">
        <v>4033</v>
      </c>
      <c r="P281" s="157">
        <v>4</v>
      </c>
      <c r="Q281" s="433" t="s">
        <v>4034</v>
      </c>
      <c r="R281" s="160" t="s">
        <v>16</v>
      </c>
      <c r="S281" s="38" t="s">
        <v>47</v>
      </c>
      <c r="T281" s="39" t="s">
        <v>4027</v>
      </c>
      <c r="U281" s="31">
        <v>1880</v>
      </c>
      <c r="V281" s="31"/>
      <c r="W281" s="31"/>
      <c r="X281" s="31">
        <v>1700</v>
      </c>
      <c r="Y281" s="31"/>
      <c r="Z281" s="31"/>
      <c r="AA281" s="31" t="s">
        <v>16</v>
      </c>
      <c r="AB281" s="31" t="s">
        <v>16</v>
      </c>
      <c r="AC281" s="31">
        <v>2</v>
      </c>
      <c r="AD281" s="40" t="s">
        <v>4029</v>
      </c>
      <c r="AE281" s="40" t="s">
        <v>4003</v>
      </c>
      <c r="AF281" s="40" t="s">
        <v>37</v>
      </c>
      <c r="AG281" s="744">
        <v>44176</v>
      </c>
      <c r="AH281" s="40"/>
      <c r="AI281" s="31"/>
      <c r="AJ281" s="652"/>
    </row>
    <row r="282" spans="1:36" ht="26.25" x14ac:dyDescent="0.25">
      <c r="A282" s="808"/>
      <c r="B282" s="550"/>
      <c r="C282" s="161"/>
      <c r="D282" s="573"/>
      <c r="E282" s="573"/>
      <c r="F282" s="163"/>
      <c r="G282" s="163"/>
      <c r="H282" s="161"/>
      <c r="I282" s="163"/>
      <c r="J282" s="423"/>
      <c r="K282" s="194"/>
      <c r="L282" s="434"/>
      <c r="M282" s="919"/>
      <c r="N282" s="919"/>
      <c r="O282" s="161"/>
      <c r="P282" s="161"/>
      <c r="Q282" s="434"/>
      <c r="R282" s="164"/>
      <c r="S282" s="42" t="s">
        <v>91</v>
      </c>
      <c r="T282" s="43" t="s">
        <v>4028</v>
      </c>
      <c r="U282" s="24"/>
      <c r="V282" s="24">
        <v>3080</v>
      </c>
      <c r="W282" s="24">
        <v>3370</v>
      </c>
      <c r="X282" s="24"/>
      <c r="Y282" s="24">
        <v>1700</v>
      </c>
      <c r="Z282" s="24">
        <v>1880</v>
      </c>
      <c r="AA282" s="24" t="s">
        <v>16</v>
      </c>
      <c r="AB282" s="24" t="s">
        <v>16</v>
      </c>
      <c r="AC282" s="24">
        <v>2</v>
      </c>
      <c r="AD282" s="46" t="s">
        <v>4029</v>
      </c>
      <c r="AE282" s="46" t="s">
        <v>4003</v>
      </c>
      <c r="AF282" s="46" t="s">
        <v>37</v>
      </c>
      <c r="AG282" s="746">
        <v>44176</v>
      </c>
      <c r="AH282" s="46"/>
      <c r="AI282" s="24"/>
      <c r="AJ282" s="1107"/>
    </row>
    <row r="283" spans="1:36" ht="51.75" x14ac:dyDescent="0.25">
      <c r="A283" s="808"/>
      <c r="B283" s="550"/>
      <c r="C283" s="161"/>
      <c r="D283" s="573"/>
      <c r="E283" s="573"/>
      <c r="F283" s="163"/>
      <c r="G283" s="163"/>
      <c r="H283" s="161"/>
      <c r="I283" s="163"/>
      <c r="J283" s="423"/>
      <c r="K283" s="194"/>
      <c r="L283" s="434"/>
      <c r="M283" s="919"/>
      <c r="N283" s="919"/>
      <c r="O283" s="161"/>
      <c r="P283" s="161"/>
      <c r="Q283" s="434"/>
      <c r="R283" s="164"/>
      <c r="S283" s="42" t="s">
        <v>92</v>
      </c>
      <c r="T283" s="43" t="s">
        <v>4030</v>
      </c>
      <c r="U283" s="24">
        <v>3200</v>
      </c>
      <c r="V283" s="24"/>
      <c r="W283" s="24"/>
      <c r="X283" s="24"/>
      <c r="Y283" s="24">
        <v>3200</v>
      </c>
      <c r="Z283" s="24"/>
      <c r="AA283" s="24" t="s">
        <v>85</v>
      </c>
      <c r="AB283" s="24" t="s">
        <v>16</v>
      </c>
      <c r="AC283" s="24">
        <v>3</v>
      </c>
      <c r="AD283" s="46" t="s">
        <v>4032</v>
      </c>
      <c r="AE283" s="46" t="s">
        <v>4003</v>
      </c>
      <c r="AF283" s="46" t="s">
        <v>37</v>
      </c>
      <c r="AG283" s="746">
        <v>44176</v>
      </c>
      <c r="AH283" s="46"/>
      <c r="AI283" s="24"/>
      <c r="AJ283" s="1107"/>
    </row>
    <row r="284" spans="1:36" ht="27" thickBot="1" x14ac:dyDescent="0.3">
      <c r="A284" s="809"/>
      <c r="B284" s="174"/>
      <c r="C284" s="165"/>
      <c r="D284" s="574"/>
      <c r="E284" s="574"/>
      <c r="F284" s="167"/>
      <c r="G284" s="167"/>
      <c r="H284" s="165"/>
      <c r="I284" s="167"/>
      <c r="J284" s="424"/>
      <c r="K284" s="195"/>
      <c r="L284" s="435"/>
      <c r="M284" s="925"/>
      <c r="N284" s="925"/>
      <c r="O284" s="165"/>
      <c r="P284" s="165"/>
      <c r="Q284" s="435"/>
      <c r="R284" s="168"/>
      <c r="S284" s="48" t="s">
        <v>99</v>
      </c>
      <c r="T284" s="49" t="s">
        <v>4011</v>
      </c>
      <c r="U284" s="25"/>
      <c r="V284" s="25"/>
      <c r="W284" s="25"/>
      <c r="X284" s="25"/>
      <c r="Y284" s="25">
        <v>6560</v>
      </c>
      <c r="Z284" s="25">
        <v>6880</v>
      </c>
      <c r="AA284" s="25" t="s">
        <v>16</v>
      </c>
      <c r="AB284" s="25" t="s">
        <v>16</v>
      </c>
      <c r="AC284" s="25">
        <v>2</v>
      </c>
      <c r="AD284" s="52" t="s">
        <v>4031</v>
      </c>
      <c r="AE284" s="52" t="s">
        <v>4003</v>
      </c>
      <c r="AF284" s="52" t="s">
        <v>37</v>
      </c>
      <c r="AG284" s="745">
        <v>44176</v>
      </c>
      <c r="AH284" s="52"/>
      <c r="AI284" s="25"/>
      <c r="AJ284" s="653"/>
    </row>
    <row r="285" spans="1:36" ht="90" x14ac:dyDescent="0.25">
      <c r="A285" s="341" t="s">
        <v>7721</v>
      </c>
      <c r="B285" s="181" t="s">
        <v>7723</v>
      </c>
      <c r="C285" s="125">
        <v>561</v>
      </c>
      <c r="D285" s="585" t="s">
        <v>57</v>
      </c>
      <c r="E285" s="585" t="s">
        <v>53</v>
      </c>
      <c r="F285" s="126"/>
      <c r="G285" s="126"/>
      <c r="H285" s="125"/>
      <c r="I285" s="126"/>
      <c r="J285" s="247"/>
      <c r="K285" s="189">
        <v>969</v>
      </c>
      <c r="L285" s="355" t="s">
        <v>7712</v>
      </c>
      <c r="M285" s="911">
        <v>1709276.5404000001</v>
      </c>
      <c r="N285" s="911">
        <v>5408470.9590999996</v>
      </c>
      <c r="O285" s="126" t="s">
        <v>7863</v>
      </c>
      <c r="P285" s="125">
        <v>6</v>
      </c>
      <c r="Q285" s="355" t="s">
        <v>7724</v>
      </c>
      <c r="R285" s="134" t="s">
        <v>16</v>
      </c>
      <c r="S285" s="38" t="s">
        <v>47</v>
      </c>
      <c r="T285" s="39" t="s">
        <v>7713</v>
      </c>
      <c r="U285" s="31">
        <v>1800</v>
      </c>
      <c r="V285" s="31">
        <f>U285-300</f>
        <v>1500</v>
      </c>
      <c r="W285" s="31">
        <f>U285+300</f>
        <v>2100</v>
      </c>
      <c r="X285" s="31"/>
      <c r="Y285" s="31"/>
      <c r="Z285" s="31"/>
      <c r="AA285" s="31" t="s">
        <v>16</v>
      </c>
      <c r="AB285" s="31" t="s">
        <v>16</v>
      </c>
      <c r="AC285" s="31">
        <v>2</v>
      </c>
      <c r="AD285" s="40" t="s">
        <v>7719</v>
      </c>
      <c r="AE285" s="40" t="s">
        <v>7720</v>
      </c>
      <c r="AF285" s="40" t="s">
        <v>37</v>
      </c>
      <c r="AG285" s="744">
        <v>44356</v>
      </c>
      <c r="AH285" s="40"/>
      <c r="AI285" s="31"/>
      <c r="AJ285" s="652"/>
    </row>
    <row r="286" spans="1:36" ht="90" x14ac:dyDescent="0.25">
      <c r="A286" s="339"/>
      <c r="B286" s="116"/>
      <c r="C286" s="95"/>
      <c r="D286" s="567"/>
      <c r="E286" s="567"/>
      <c r="F286" s="108"/>
      <c r="G286" s="108"/>
      <c r="H286" s="95"/>
      <c r="I286" s="108"/>
      <c r="J286" s="122"/>
      <c r="K286" s="191"/>
      <c r="L286" s="359"/>
      <c r="M286" s="913"/>
      <c r="N286" s="913"/>
      <c r="O286" s="95"/>
      <c r="P286" s="95"/>
      <c r="Q286" s="359"/>
      <c r="R286" s="98"/>
      <c r="S286" s="42" t="s">
        <v>91</v>
      </c>
      <c r="T286" s="43" t="s">
        <v>7714</v>
      </c>
      <c r="U286" s="24">
        <v>3100</v>
      </c>
      <c r="V286" s="24">
        <f>U286-600</f>
        <v>2500</v>
      </c>
      <c r="W286" s="24">
        <f>U286+600</f>
        <v>3700</v>
      </c>
      <c r="X286" s="24"/>
      <c r="Y286" s="24"/>
      <c r="Z286" s="24"/>
      <c r="AA286" s="24" t="s">
        <v>16</v>
      </c>
      <c r="AB286" s="24" t="s">
        <v>16</v>
      </c>
      <c r="AC286" s="24">
        <v>2</v>
      </c>
      <c r="AD286" s="46" t="s">
        <v>7719</v>
      </c>
      <c r="AE286" s="46" t="s">
        <v>7720</v>
      </c>
      <c r="AF286" s="46" t="s">
        <v>37</v>
      </c>
      <c r="AG286" s="746">
        <v>44356</v>
      </c>
      <c r="AH286" s="46"/>
      <c r="AI286" s="24"/>
      <c r="AJ286" s="1107"/>
    </row>
    <row r="287" spans="1:36" ht="90" x14ac:dyDescent="0.25">
      <c r="A287" s="339"/>
      <c r="B287" s="116"/>
      <c r="C287" s="95"/>
      <c r="D287" s="567"/>
      <c r="E287" s="567"/>
      <c r="F287" s="108"/>
      <c r="G287" s="108"/>
      <c r="H287" s="95"/>
      <c r="I287" s="108"/>
      <c r="J287" s="122"/>
      <c r="K287" s="191"/>
      <c r="L287" s="359"/>
      <c r="M287" s="913"/>
      <c r="N287" s="913"/>
      <c r="O287" s="95"/>
      <c r="P287" s="95"/>
      <c r="Q287" s="359"/>
      <c r="R287" s="98"/>
      <c r="S287" s="42" t="s">
        <v>92</v>
      </c>
      <c r="T287" s="43" t="s">
        <v>7715</v>
      </c>
      <c r="U287" s="24">
        <v>8700</v>
      </c>
      <c r="V287" s="24">
        <f>U287-1600</f>
        <v>7100</v>
      </c>
      <c r="W287" s="24">
        <f>U287+1600</f>
        <v>10300</v>
      </c>
      <c r="X287" s="24"/>
      <c r="Y287" s="24"/>
      <c r="Z287" s="24"/>
      <c r="AA287" s="24" t="s">
        <v>16</v>
      </c>
      <c r="AB287" s="24" t="s">
        <v>16</v>
      </c>
      <c r="AC287" s="24">
        <v>2</v>
      </c>
      <c r="AD287" s="46" t="s">
        <v>7719</v>
      </c>
      <c r="AE287" s="46" t="s">
        <v>7720</v>
      </c>
      <c r="AF287" s="46" t="s">
        <v>37</v>
      </c>
      <c r="AG287" s="746">
        <v>44356</v>
      </c>
      <c r="AH287" s="46"/>
      <c r="AI287" s="24"/>
      <c r="AJ287" s="1107"/>
    </row>
    <row r="288" spans="1:36" ht="90" x14ac:dyDescent="0.25">
      <c r="A288" s="339"/>
      <c r="B288" s="116"/>
      <c r="C288" s="95"/>
      <c r="D288" s="567"/>
      <c r="E288" s="567"/>
      <c r="F288" s="108"/>
      <c r="G288" s="108"/>
      <c r="H288" s="95"/>
      <c r="I288" s="108"/>
      <c r="J288" s="122"/>
      <c r="K288" s="191"/>
      <c r="L288" s="359"/>
      <c r="M288" s="913"/>
      <c r="N288" s="913"/>
      <c r="O288" s="95"/>
      <c r="P288" s="95"/>
      <c r="Q288" s="359"/>
      <c r="R288" s="98"/>
      <c r="S288" s="42" t="s">
        <v>99</v>
      </c>
      <c r="T288" s="43" t="s">
        <v>7716</v>
      </c>
      <c r="U288" s="24">
        <v>9700</v>
      </c>
      <c r="V288" s="24">
        <f>U288-1700</f>
        <v>8000</v>
      </c>
      <c r="W288" s="24">
        <f>U288+1700</f>
        <v>11400</v>
      </c>
      <c r="X288" s="24"/>
      <c r="Y288" s="24"/>
      <c r="Z288" s="24"/>
      <c r="AA288" s="24" t="s">
        <v>16</v>
      </c>
      <c r="AB288" s="24" t="s">
        <v>16</v>
      </c>
      <c r="AC288" s="24">
        <v>2</v>
      </c>
      <c r="AD288" s="46" t="s">
        <v>7719</v>
      </c>
      <c r="AE288" s="46" t="s">
        <v>7720</v>
      </c>
      <c r="AF288" s="46" t="s">
        <v>37</v>
      </c>
      <c r="AG288" s="746">
        <v>44356</v>
      </c>
      <c r="AH288" s="46"/>
      <c r="AI288" s="24"/>
      <c r="AJ288" s="1107"/>
    </row>
    <row r="289" spans="1:36" ht="90" x14ac:dyDescent="0.25">
      <c r="A289" s="339"/>
      <c r="B289" s="116"/>
      <c r="C289" s="95"/>
      <c r="D289" s="567"/>
      <c r="E289" s="567"/>
      <c r="F289" s="108"/>
      <c r="G289" s="108"/>
      <c r="H289" s="95"/>
      <c r="I289" s="108"/>
      <c r="J289" s="122"/>
      <c r="K289" s="191"/>
      <c r="L289" s="359"/>
      <c r="M289" s="913"/>
      <c r="N289" s="913"/>
      <c r="O289" s="95"/>
      <c r="P289" s="95"/>
      <c r="Q289" s="359"/>
      <c r="R289" s="98"/>
      <c r="S289" s="42" t="s">
        <v>100</v>
      </c>
      <c r="T289" s="43" t="s">
        <v>7717</v>
      </c>
      <c r="U289" s="24">
        <v>13200</v>
      </c>
      <c r="V289" s="24">
        <f>U289-2600</f>
        <v>10600</v>
      </c>
      <c r="W289" s="24">
        <f>U289+2600</f>
        <v>15800</v>
      </c>
      <c r="X289" s="24"/>
      <c r="Y289" s="24"/>
      <c r="Z289" s="24"/>
      <c r="AA289" s="24" t="s">
        <v>16</v>
      </c>
      <c r="AB289" s="24" t="s">
        <v>16</v>
      </c>
      <c r="AC289" s="24">
        <v>2</v>
      </c>
      <c r="AD289" s="46" t="s">
        <v>7719</v>
      </c>
      <c r="AE289" s="46" t="s">
        <v>7720</v>
      </c>
      <c r="AF289" s="46" t="s">
        <v>37</v>
      </c>
      <c r="AG289" s="746">
        <v>44356</v>
      </c>
      <c r="AH289" s="46"/>
      <c r="AI289" s="24"/>
      <c r="AJ289" s="1107"/>
    </row>
    <row r="290" spans="1:36" ht="90.75" thickBot="1" x14ac:dyDescent="0.3">
      <c r="A290" s="336"/>
      <c r="B290" s="196"/>
      <c r="C290" s="96"/>
      <c r="D290" s="566"/>
      <c r="E290" s="566"/>
      <c r="F290" s="107"/>
      <c r="G290" s="107"/>
      <c r="H290" s="96"/>
      <c r="I290" s="107"/>
      <c r="J290" s="123"/>
      <c r="K290" s="190"/>
      <c r="L290" s="357"/>
      <c r="M290" s="912"/>
      <c r="N290" s="912"/>
      <c r="O290" s="96"/>
      <c r="P290" s="96"/>
      <c r="Q290" s="357"/>
      <c r="R290" s="100"/>
      <c r="S290" s="48" t="s">
        <v>101</v>
      </c>
      <c r="T290" s="49" t="s">
        <v>7718</v>
      </c>
      <c r="U290" s="25">
        <v>16200</v>
      </c>
      <c r="V290" s="25">
        <f>U290-3700</f>
        <v>12500</v>
      </c>
      <c r="W290" s="25">
        <f>U290+3700</f>
        <v>19900</v>
      </c>
      <c r="X290" s="25"/>
      <c r="Y290" s="25"/>
      <c r="Z290" s="25"/>
      <c r="AA290" s="25" t="s">
        <v>16</v>
      </c>
      <c r="AB290" s="25" t="s">
        <v>16</v>
      </c>
      <c r="AC290" s="25">
        <v>2</v>
      </c>
      <c r="AD290" s="52" t="s">
        <v>7719</v>
      </c>
      <c r="AE290" s="52" t="s">
        <v>7720</v>
      </c>
      <c r="AF290" s="52" t="s">
        <v>37</v>
      </c>
      <c r="AG290" s="745">
        <v>44356</v>
      </c>
      <c r="AH290" s="52"/>
      <c r="AI290" s="25"/>
      <c r="AJ290" s="653"/>
    </row>
    <row r="291" spans="1:36" ht="77.25" x14ac:dyDescent="0.25">
      <c r="A291" s="341" t="s">
        <v>2045</v>
      </c>
      <c r="B291" s="181" t="s">
        <v>2045</v>
      </c>
      <c r="C291" s="125">
        <v>771</v>
      </c>
      <c r="D291" s="585" t="s">
        <v>52</v>
      </c>
      <c r="E291" s="585"/>
      <c r="F291" s="126" t="s">
        <v>6701</v>
      </c>
      <c r="G291" s="126" t="s">
        <v>6702</v>
      </c>
      <c r="H291" s="125" t="s">
        <v>16</v>
      </c>
      <c r="I291" s="355" t="s">
        <v>7916</v>
      </c>
      <c r="J291" s="181" t="s">
        <v>2052</v>
      </c>
      <c r="K291" s="189">
        <v>4077</v>
      </c>
      <c r="L291" s="355" t="s">
        <v>6703</v>
      </c>
      <c r="M291" s="911">
        <v>1326774.787583</v>
      </c>
      <c r="N291" s="911">
        <v>5007405.6340469997</v>
      </c>
      <c r="O291" s="125" t="s">
        <v>6704</v>
      </c>
      <c r="P291" s="125">
        <v>5</v>
      </c>
      <c r="Q291" s="355" t="s">
        <v>6705</v>
      </c>
      <c r="R291" s="134" t="s">
        <v>16</v>
      </c>
      <c r="S291" s="656" t="s">
        <v>47</v>
      </c>
      <c r="T291" s="340" t="s">
        <v>6706</v>
      </c>
      <c r="U291" s="31">
        <v>13700</v>
      </c>
      <c r="V291" s="31">
        <v>12300</v>
      </c>
      <c r="W291" s="31">
        <v>15100</v>
      </c>
      <c r="X291" s="31">
        <v>9570</v>
      </c>
      <c r="Y291" s="31">
        <v>8090</v>
      </c>
      <c r="Z291" s="31">
        <v>10950</v>
      </c>
      <c r="AA291" s="31" t="s">
        <v>16</v>
      </c>
      <c r="AB291" s="31" t="s">
        <v>10</v>
      </c>
      <c r="AC291" s="31">
        <v>2</v>
      </c>
      <c r="AD291" s="40" t="s">
        <v>6707</v>
      </c>
      <c r="AE291" s="40" t="s">
        <v>2052</v>
      </c>
      <c r="AF291" s="40" t="s">
        <v>6372</v>
      </c>
      <c r="AG291" s="744">
        <v>44284</v>
      </c>
      <c r="AH291" s="40"/>
      <c r="AI291" s="744">
        <v>44326</v>
      </c>
      <c r="AJ291" s="652" t="s">
        <v>37</v>
      </c>
    </row>
    <row r="292" spans="1:36" ht="64.5" x14ac:dyDescent="0.25">
      <c r="A292" s="339"/>
      <c r="B292" s="338"/>
      <c r="C292" s="277"/>
      <c r="D292" s="565"/>
      <c r="E292" s="565"/>
      <c r="F292" s="276"/>
      <c r="G292" s="276"/>
      <c r="H292" s="277"/>
      <c r="I292" s="276"/>
      <c r="J292" s="338"/>
      <c r="K292" s="191"/>
      <c r="L292" s="359"/>
      <c r="M292" s="913"/>
      <c r="N292" s="913"/>
      <c r="O292" s="95"/>
      <c r="P292" s="95"/>
      <c r="Q292" s="359"/>
      <c r="R292" s="98"/>
      <c r="S292" s="658" t="s">
        <v>91</v>
      </c>
      <c r="T292" s="179" t="s">
        <v>6708</v>
      </c>
      <c r="U292" s="24">
        <v>17200</v>
      </c>
      <c r="V292" s="24">
        <v>15200</v>
      </c>
      <c r="W292" s="24">
        <v>19200</v>
      </c>
      <c r="X292" s="24">
        <v>13700</v>
      </c>
      <c r="Y292" s="24">
        <v>12300</v>
      </c>
      <c r="Z292" s="24">
        <v>15100</v>
      </c>
      <c r="AA292" s="24" t="s">
        <v>16</v>
      </c>
      <c r="AB292" s="24" t="s">
        <v>16</v>
      </c>
      <c r="AC292" s="24">
        <v>2</v>
      </c>
      <c r="AD292" s="46" t="s">
        <v>6709</v>
      </c>
      <c r="AE292" s="46" t="s">
        <v>2052</v>
      </c>
      <c r="AF292" s="46" t="s">
        <v>6372</v>
      </c>
      <c r="AG292" s="746">
        <v>44284</v>
      </c>
      <c r="AH292" s="46"/>
      <c r="AI292" s="746">
        <v>44326</v>
      </c>
      <c r="AJ292" s="1107" t="s">
        <v>37</v>
      </c>
    </row>
    <row r="293" spans="1:36" ht="77.25" x14ac:dyDescent="0.25">
      <c r="A293" s="339"/>
      <c r="B293" s="338"/>
      <c r="C293" s="277"/>
      <c r="D293" s="565"/>
      <c r="E293" s="565"/>
      <c r="F293" s="276"/>
      <c r="G293" s="276"/>
      <c r="H293" s="277"/>
      <c r="I293" s="276"/>
      <c r="J293" s="338"/>
      <c r="K293" s="191"/>
      <c r="L293" s="359"/>
      <c r="M293" s="913"/>
      <c r="N293" s="913"/>
      <c r="O293" s="95"/>
      <c r="P293" s="95"/>
      <c r="Q293" s="359"/>
      <c r="R293" s="98"/>
      <c r="S293" s="658" t="s">
        <v>92</v>
      </c>
      <c r="T293" s="179" t="s">
        <v>6710</v>
      </c>
      <c r="U293" s="24"/>
      <c r="V293" s="24">
        <v>18400</v>
      </c>
      <c r="W293" s="24"/>
      <c r="X293" s="24"/>
      <c r="Y293" s="24"/>
      <c r="Z293" s="24">
        <v>15200</v>
      </c>
      <c r="AA293" s="24" t="s">
        <v>16</v>
      </c>
      <c r="AB293" s="24" t="s">
        <v>16</v>
      </c>
      <c r="AC293" s="24">
        <v>2</v>
      </c>
      <c r="AD293" s="46" t="s">
        <v>6711</v>
      </c>
      <c r="AE293" s="46" t="s">
        <v>2052</v>
      </c>
      <c r="AF293" s="46" t="s">
        <v>6372</v>
      </c>
      <c r="AG293" s="746">
        <v>44284</v>
      </c>
      <c r="AH293" s="46"/>
      <c r="AI293" s="746">
        <v>44326</v>
      </c>
      <c r="AJ293" s="1107" t="s">
        <v>37</v>
      </c>
    </row>
    <row r="294" spans="1:36" ht="77.25" x14ac:dyDescent="0.25">
      <c r="A294" s="339"/>
      <c r="B294" s="338"/>
      <c r="C294" s="277"/>
      <c r="D294" s="565"/>
      <c r="E294" s="565"/>
      <c r="F294" s="276"/>
      <c r="G294" s="276"/>
      <c r="H294" s="277"/>
      <c r="I294" s="276"/>
      <c r="J294" s="338"/>
      <c r="K294" s="191"/>
      <c r="L294" s="359"/>
      <c r="M294" s="913"/>
      <c r="N294" s="913"/>
      <c r="O294" s="95"/>
      <c r="P294" s="95"/>
      <c r="Q294" s="359"/>
      <c r="R294" s="98"/>
      <c r="S294" s="658" t="s">
        <v>99</v>
      </c>
      <c r="T294" s="179" t="s">
        <v>6712</v>
      </c>
      <c r="U294" s="24">
        <v>18600</v>
      </c>
      <c r="V294" s="24">
        <v>17000</v>
      </c>
      <c r="W294" s="24">
        <v>20200</v>
      </c>
      <c r="X294" s="24">
        <v>18200</v>
      </c>
      <c r="Y294" s="24">
        <v>16600</v>
      </c>
      <c r="Z294" s="24">
        <v>19800</v>
      </c>
      <c r="AA294" s="24" t="s">
        <v>16</v>
      </c>
      <c r="AB294" s="24" t="s">
        <v>85</v>
      </c>
      <c r="AC294" s="24">
        <v>3</v>
      </c>
      <c r="AD294" s="46" t="s">
        <v>6713</v>
      </c>
      <c r="AE294" s="46" t="s">
        <v>2052</v>
      </c>
      <c r="AF294" s="46" t="s">
        <v>6372</v>
      </c>
      <c r="AG294" s="746">
        <v>44284</v>
      </c>
      <c r="AH294" s="46"/>
      <c r="AI294" s="746">
        <v>44326</v>
      </c>
      <c r="AJ294" s="1107" t="s">
        <v>37</v>
      </c>
    </row>
    <row r="295" spans="1:36" ht="90.75" thickBot="1" x14ac:dyDescent="0.3">
      <c r="A295" s="339"/>
      <c r="B295" s="338"/>
      <c r="C295" s="277"/>
      <c r="D295" s="565"/>
      <c r="E295" s="565"/>
      <c r="F295" s="276"/>
      <c r="G295" s="276"/>
      <c r="H295" s="277"/>
      <c r="I295" s="276"/>
      <c r="J295" s="338"/>
      <c r="K295" s="190"/>
      <c r="L295" s="357"/>
      <c r="M295" s="912"/>
      <c r="N295" s="912"/>
      <c r="O295" s="96"/>
      <c r="P295" s="96"/>
      <c r="Q295" s="357"/>
      <c r="R295" s="100"/>
      <c r="S295" s="657" t="s">
        <v>100</v>
      </c>
      <c r="T295" s="335" t="s">
        <v>6714</v>
      </c>
      <c r="U295" s="25">
        <v>24300</v>
      </c>
      <c r="V295" s="25">
        <v>20400</v>
      </c>
      <c r="W295" s="25">
        <v>28200</v>
      </c>
      <c r="X295" s="25">
        <v>18600</v>
      </c>
      <c r="Y295" s="25">
        <v>17000</v>
      </c>
      <c r="Z295" s="25">
        <v>20200</v>
      </c>
      <c r="AA295" s="25" t="s">
        <v>16</v>
      </c>
      <c r="AB295" s="25" t="s">
        <v>10</v>
      </c>
      <c r="AC295" s="25">
        <v>2</v>
      </c>
      <c r="AD295" s="52" t="s">
        <v>6715</v>
      </c>
      <c r="AE295" s="52" t="s">
        <v>2052</v>
      </c>
      <c r="AF295" s="52" t="s">
        <v>6372</v>
      </c>
      <c r="AG295" s="745">
        <v>44284</v>
      </c>
      <c r="AH295" s="52"/>
      <c r="AI295" s="745">
        <v>44326</v>
      </c>
      <c r="AJ295" s="653" t="s">
        <v>37</v>
      </c>
    </row>
    <row r="296" spans="1:36" ht="65.25" thickBot="1" x14ac:dyDescent="0.3">
      <c r="A296" s="339"/>
      <c r="B296" s="338"/>
      <c r="C296" s="277"/>
      <c r="D296" s="565"/>
      <c r="E296" s="565"/>
      <c r="F296" s="276"/>
      <c r="G296" s="276"/>
      <c r="H296" s="277"/>
      <c r="I296" s="276"/>
      <c r="J296" s="338"/>
      <c r="K296" s="89">
        <v>4078</v>
      </c>
      <c r="L296" s="396" t="s">
        <v>6716</v>
      </c>
      <c r="M296" s="265">
        <v>1326894.36347</v>
      </c>
      <c r="N296" s="265">
        <v>5007559.6477899998</v>
      </c>
      <c r="O296" s="84" t="s">
        <v>41</v>
      </c>
      <c r="P296" s="84">
        <v>1</v>
      </c>
      <c r="Q296" s="396" t="s">
        <v>2156</v>
      </c>
      <c r="R296" s="90" t="s">
        <v>2156</v>
      </c>
      <c r="S296" s="683" t="s">
        <v>47</v>
      </c>
      <c r="T296" s="329" t="s">
        <v>6717</v>
      </c>
      <c r="U296" s="86">
        <v>15300</v>
      </c>
      <c r="V296" s="86">
        <f>15300-3200</f>
        <v>12100</v>
      </c>
      <c r="W296" s="86">
        <f>15300+3200</f>
        <v>18500</v>
      </c>
      <c r="X296" s="86">
        <v>14700</v>
      </c>
      <c r="Y296" s="86">
        <f>14700-1300*2</f>
        <v>12100</v>
      </c>
      <c r="Z296" s="86">
        <f>14700+1300*2</f>
        <v>17300</v>
      </c>
      <c r="AA296" s="86" t="s">
        <v>16</v>
      </c>
      <c r="AB296" s="86" t="s">
        <v>10</v>
      </c>
      <c r="AC296" s="86">
        <v>2</v>
      </c>
      <c r="AD296" s="92" t="s">
        <v>6718</v>
      </c>
      <c r="AE296" s="92" t="s">
        <v>2052</v>
      </c>
      <c r="AF296" s="92" t="s">
        <v>6372</v>
      </c>
      <c r="AG296" s="743">
        <v>44284</v>
      </c>
      <c r="AH296" s="92"/>
      <c r="AI296" s="743">
        <v>44326</v>
      </c>
      <c r="AJ296" s="1108" t="s">
        <v>37</v>
      </c>
    </row>
    <row r="297" spans="1:36" ht="103.5" thickBot="1" x14ac:dyDescent="0.3">
      <c r="A297" s="339"/>
      <c r="B297" s="338"/>
      <c r="C297" s="277"/>
      <c r="D297" s="565"/>
      <c r="E297" s="565"/>
      <c r="F297" s="276"/>
      <c r="G297" s="276"/>
      <c r="H297" s="277"/>
      <c r="I297" s="276"/>
      <c r="J297" s="338"/>
      <c r="K297" s="89">
        <v>4079</v>
      </c>
      <c r="L297" s="396" t="s">
        <v>6719</v>
      </c>
      <c r="M297" s="265">
        <v>1312077.3617400001</v>
      </c>
      <c r="N297" s="265">
        <v>4993225.6561000003</v>
      </c>
      <c r="O297" s="84" t="s">
        <v>41</v>
      </c>
      <c r="P297" s="84" t="s">
        <v>1454</v>
      </c>
      <c r="Q297" s="396" t="s">
        <v>2156</v>
      </c>
      <c r="R297" s="90" t="s">
        <v>2156</v>
      </c>
      <c r="S297" s="683" t="s">
        <v>47</v>
      </c>
      <c r="T297" s="329" t="s">
        <v>6720</v>
      </c>
      <c r="U297" s="86"/>
      <c r="V297" s="86"/>
      <c r="W297" s="86"/>
      <c r="X297" s="86">
        <v>18400</v>
      </c>
      <c r="Y297" s="86">
        <f>18400-3400</f>
        <v>15000</v>
      </c>
      <c r="Z297" s="86">
        <f>18400+3400</f>
        <v>21800</v>
      </c>
      <c r="AA297" s="86" t="s">
        <v>85</v>
      </c>
      <c r="AB297" s="86" t="s">
        <v>10</v>
      </c>
      <c r="AC297" s="86">
        <v>3</v>
      </c>
      <c r="AD297" s="92" t="s">
        <v>6721</v>
      </c>
      <c r="AE297" s="92" t="s">
        <v>2052</v>
      </c>
      <c r="AF297" s="92" t="s">
        <v>6372</v>
      </c>
      <c r="AG297" s="743">
        <v>44284</v>
      </c>
      <c r="AH297" s="92"/>
      <c r="AI297" s="743">
        <v>44326</v>
      </c>
      <c r="AJ297" s="1108" t="s">
        <v>37</v>
      </c>
    </row>
    <row r="298" spans="1:36" ht="52.5" thickBot="1" x14ac:dyDescent="0.3">
      <c r="A298" s="339"/>
      <c r="B298" s="338"/>
      <c r="C298" s="277"/>
      <c r="D298" s="565"/>
      <c r="E298" s="565"/>
      <c r="F298" s="276"/>
      <c r="G298" s="276"/>
      <c r="H298" s="277"/>
      <c r="I298" s="276"/>
      <c r="J298" s="338"/>
      <c r="K298" s="89">
        <v>4080</v>
      </c>
      <c r="L298" s="396" t="s">
        <v>6722</v>
      </c>
      <c r="M298" s="265">
        <v>1312090.8307699999</v>
      </c>
      <c r="N298" s="265">
        <v>4993213.4115300002</v>
      </c>
      <c r="O298" s="84" t="s">
        <v>41</v>
      </c>
      <c r="P298" s="84">
        <v>1</v>
      </c>
      <c r="Q298" s="396" t="s">
        <v>2156</v>
      </c>
      <c r="R298" s="90" t="s">
        <v>2156</v>
      </c>
      <c r="S298" s="683" t="s">
        <v>47</v>
      </c>
      <c r="T298" s="329" t="s">
        <v>6723</v>
      </c>
      <c r="U298" s="86">
        <v>21700</v>
      </c>
      <c r="V298" s="86">
        <f>21700-2*2300</f>
        <v>17100</v>
      </c>
      <c r="W298" s="86">
        <f>21700+2*2300</f>
        <v>26300</v>
      </c>
      <c r="X298" s="86"/>
      <c r="Y298" s="86"/>
      <c r="Z298" s="86"/>
      <c r="AA298" s="86" t="s">
        <v>85</v>
      </c>
      <c r="AB298" s="86" t="s">
        <v>10</v>
      </c>
      <c r="AC298" s="86">
        <v>3</v>
      </c>
      <c r="AD298" s="92" t="s">
        <v>6724</v>
      </c>
      <c r="AE298" s="92" t="s">
        <v>2052</v>
      </c>
      <c r="AF298" s="92" t="s">
        <v>6372</v>
      </c>
      <c r="AG298" s="743">
        <v>44284</v>
      </c>
      <c r="AH298" s="92"/>
      <c r="AI298" s="743">
        <v>44326</v>
      </c>
      <c r="AJ298" s="1108" t="s">
        <v>37</v>
      </c>
    </row>
    <row r="299" spans="1:36" ht="39.75" thickBot="1" x14ac:dyDescent="0.3">
      <c r="A299" s="339"/>
      <c r="B299" s="338"/>
      <c r="C299" s="277"/>
      <c r="D299" s="565"/>
      <c r="E299" s="565"/>
      <c r="F299" s="276"/>
      <c r="G299" s="276"/>
      <c r="H299" s="277"/>
      <c r="I299" s="276"/>
      <c r="J299" s="338"/>
      <c r="K299" s="89">
        <v>4081</v>
      </c>
      <c r="L299" s="396" t="s">
        <v>6725</v>
      </c>
      <c r="M299" s="265">
        <v>1311747.4470899999</v>
      </c>
      <c r="N299" s="265">
        <v>4992684.4078200003</v>
      </c>
      <c r="O299" s="84" t="s">
        <v>41</v>
      </c>
      <c r="P299" s="84">
        <v>1</v>
      </c>
      <c r="Q299" s="396" t="s">
        <v>2156</v>
      </c>
      <c r="R299" s="90" t="s">
        <v>2156</v>
      </c>
      <c r="S299" s="683" t="s">
        <v>47</v>
      </c>
      <c r="T299" s="329" t="s">
        <v>6726</v>
      </c>
      <c r="U299" s="86">
        <v>50500</v>
      </c>
      <c r="V299" s="86">
        <f>50500-5000</f>
        <v>45500</v>
      </c>
      <c r="W299" s="86">
        <f>50500+5000</f>
        <v>55500</v>
      </c>
      <c r="X299" s="86"/>
      <c r="Y299" s="86"/>
      <c r="Z299" s="86"/>
      <c r="AA299" s="86" t="s">
        <v>85</v>
      </c>
      <c r="AB299" s="86" t="s">
        <v>16</v>
      </c>
      <c r="AC299" s="86">
        <v>3</v>
      </c>
      <c r="AD299" s="92" t="s">
        <v>6727</v>
      </c>
      <c r="AE299" s="92" t="s">
        <v>2052</v>
      </c>
      <c r="AF299" s="92" t="s">
        <v>6372</v>
      </c>
      <c r="AG299" s="743">
        <v>44284</v>
      </c>
      <c r="AH299" s="92"/>
      <c r="AI299" s="743">
        <v>44326</v>
      </c>
      <c r="AJ299" s="1108" t="s">
        <v>37</v>
      </c>
    </row>
    <row r="300" spans="1:36" ht="65.25" thickBot="1" x14ac:dyDescent="0.3">
      <c r="A300" s="336"/>
      <c r="B300" s="196"/>
      <c r="C300" s="96"/>
      <c r="D300" s="566"/>
      <c r="E300" s="566"/>
      <c r="F300" s="107"/>
      <c r="G300" s="107"/>
      <c r="H300" s="96"/>
      <c r="I300" s="107"/>
      <c r="J300" s="196"/>
      <c r="K300" s="190">
        <v>4082</v>
      </c>
      <c r="L300" s="357" t="s">
        <v>6728</v>
      </c>
      <c r="M300" s="912">
        <v>1311717.0860299999</v>
      </c>
      <c r="N300" s="912">
        <v>4991924.1518200003</v>
      </c>
      <c r="O300" s="96" t="s">
        <v>41</v>
      </c>
      <c r="P300" s="96">
        <v>1</v>
      </c>
      <c r="Q300" s="357" t="s">
        <v>2156</v>
      </c>
      <c r="R300" s="100" t="s">
        <v>2156</v>
      </c>
      <c r="S300" s="655" t="s">
        <v>47</v>
      </c>
      <c r="T300" s="335" t="s">
        <v>6729</v>
      </c>
      <c r="U300" s="25">
        <v>7220</v>
      </c>
      <c r="V300" s="25">
        <f>7220-430</f>
        <v>6790</v>
      </c>
      <c r="W300" s="25">
        <f>7220+430</f>
        <v>7650</v>
      </c>
      <c r="X300" s="25"/>
      <c r="Y300" s="25"/>
      <c r="Z300" s="25"/>
      <c r="AA300" s="25" t="s">
        <v>85</v>
      </c>
      <c r="AB300" s="25" t="s">
        <v>16</v>
      </c>
      <c r="AC300" s="25">
        <v>3</v>
      </c>
      <c r="AD300" s="52" t="s">
        <v>6730</v>
      </c>
      <c r="AE300" s="52" t="s">
        <v>2052</v>
      </c>
      <c r="AF300" s="52" t="s">
        <v>6372</v>
      </c>
      <c r="AG300" s="745">
        <v>44285</v>
      </c>
      <c r="AH300" s="52"/>
      <c r="AI300" s="745">
        <v>44326</v>
      </c>
      <c r="AJ300" s="653" t="s">
        <v>37</v>
      </c>
    </row>
    <row r="301" spans="1:36" x14ac:dyDescent="0.25">
      <c r="A301" s="802" t="s">
        <v>2830</v>
      </c>
      <c r="B301" s="128" t="s">
        <v>2831</v>
      </c>
      <c r="C301" s="72">
        <v>187</v>
      </c>
      <c r="D301" s="586" t="s">
        <v>57</v>
      </c>
      <c r="E301" s="586"/>
      <c r="F301" s="129"/>
      <c r="G301" s="129"/>
      <c r="H301" s="72"/>
      <c r="I301" s="129"/>
      <c r="J301" s="381"/>
      <c r="K301" s="187">
        <v>4037</v>
      </c>
      <c r="L301" s="73" t="s">
        <v>6545</v>
      </c>
      <c r="M301" s="914">
        <v>1936160.0254559999</v>
      </c>
      <c r="N301" s="914">
        <v>5787443.1889070002</v>
      </c>
      <c r="O301" s="72" t="s">
        <v>41</v>
      </c>
      <c r="P301" s="72">
        <v>2</v>
      </c>
      <c r="Q301" s="73" t="s">
        <v>2156</v>
      </c>
      <c r="R301" s="74" t="s">
        <v>2156</v>
      </c>
      <c r="S301" s="656" t="s">
        <v>47</v>
      </c>
      <c r="T301" s="97" t="s">
        <v>6398</v>
      </c>
      <c r="U301" s="31">
        <v>-37</v>
      </c>
      <c r="V301" s="31"/>
      <c r="W301" s="31"/>
      <c r="X301" s="31">
        <v>-37</v>
      </c>
      <c r="Y301" s="31"/>
      <c r="Z301" s="31"/>
      <c r="AA301" s="31" t="s">
        <v>10</v>
      </c>
      <c r="AB301" s="31" t="s">
        <v>10</v>
      </c>
      <c r="AC301" s="31">
        <v>1</v>
      </c>
      <c r="AD301" s="40" t="s">
        <v>6417</v>
      </c>
      <c r="AE301" s="40" t="s">
        <v>6540</v>
      </c>
      <c r="AF301" s="40" t="s">
        <v>6372</v>
      </c>
      <c r="AG301" s="744">
        <v>44250</v>
      </c>
      <c r="AH301" s="40"/>
      <c r="AI301" s="744">
        <v>44326</v>
      </c>
      <c r="AJ301" s="652" t="s">
        <v>37</v>
      </c>
    </row>
    <row r="302" spans="1:36" ht="129" thickBot="1" x14ac:dyDescent="0.3">
      <c r="A302" s="488"/>
      <c r="B302" s="486"/>
      <c r="C302" s="407"/>
      <c r="D302" s="572"/>
      <c r="E302" s="572"/>
      <c r="F302" s="541"/>
      <c r="G302" s="541"/>
      <c r="H302" s="407"/>
      <c r="I302" s="541"/>
      <c r="J302" s="121"/>
      <c r="K302" s="192"/>
      <c r="L302" s="79"/>
      <c r="M302" s="916"/>
      <c r="N302" s="916"/>
      <c r="O302" s="78"/>
      <c r="P302" s="78"/>
      <c r="Q302" s="79"/>
      <c r="R302" s="80"/>
      <c r="S302" s="658" t="s">
        <v>91</v>
      </c>
      <c r="T302" s="179" t="s">
        <v>6538</v>
      </c>
      <c r="U302" s="24"/>
      <c r="V302" s="24"/>
      <c r="W302" s="24"/>
      <c r="X302" s="24">
        <v>1850</v>
      </c>
      <c r="Y302" s="24"/>
      <c r="Z302" s="24"/>
      <c r="AA302" s="24" t="s">
        <v>85</v>
      </c>
      <c r="AB302" s="24" t="s">
        <v>85</v>
      </c>
      <c r="AC302" s="24">
        <v>3</v>
      </c>
      <c r="AD302" s="46" t="s">
        <v>6539</v>
      </c>
      <c r="AE302" s="46" t="s">
        <v>6540</v>
      </c>
      <c r="AF302" s="46" t="s">
        <v>6372</v>
      </c>
      <c r="AG302" s="746">
        <v>44250</v>
      </c>
      <c r="AH302" s="46"/>
      <c r="AI302" s="746">
        <v>44326</v>
      </c>
      <c r="AJ302" s="1107" t="s">
        <v>37</v>
      </c>
    </row>
    <row r="303" spans="1:36" x14ac:dyDescent="0.25">
      <c r="A303" s="488"/>
      <c r="B303" s="486"/>
      <c r="C303" s="407"/>
      <c r="D303" s="572"/>
      <c r="E303" s="572"/>
      <c r="F303" s="541"/>
      <c r="G303" s="541"/>
      <c r="H303" s="407"/>
      <c r="I303" s="541"/>
      <c r="J303" s="121"/>
      <c r="K303" s="187">
        <v>4038</v>
      </c>
      <c r="L303" s="73" t="s">
        <v>6546</v>
      </c>
      <c r="M303" s="914">
        <v>1936135.058434</v>
      </c>
      <c r="N303" s="914">
        <v>5787417.6791239996</v>
      </c>
      <c r="O303" s="72" t="s">
        <v>41</v>
      </c>
      <c r="P303" s="72">
        <v>2</v>
      </c>
      <c r="Q303" s="73" t="s">
        <v>2156</v>
      </c>
      <c r="R303" s="74" t="s">
        <v>2156</v>
      </c>
      <c r="S303" s="656" t="s">
        <v>47</v>
      </c>
      <c r="T303" s="97" t="s">
        <v>6398</v>
      </c>
      <c r="U303" s="31">
        <v>-37</v>
      </c>
      <c r="V303" s="31"/>
      <c r="W303" s="31"/>
      <c r="X303" s="31">
        <v>-37</v>
      </c>
      <c r="Y303" s="31"/>
      <c r="Z303" s="31"/>
      <c r="AA303" s="31" t="s">
        <v>10</v>
      </c>
      <c r="AB303" s="31" t="s">
        <v>10</v>
      </c>
      <c r="AC303" s="31">
        <v>1</v>
      </c>
      <c r="AD303" s="40" t="s">
        <v>6417</v>
      </c>
      <c r="AE303" s="40" t="s">
        <v>6540</v>
      </c>
      <c r="AF303" s="40" t="s">
        <v>6372</v>
      </c>
      <c r="AG303" s="744">
        <v>44250</v>
      </c>
      <c r="AH303" s="40"/>
      <c r="AI303" s="744">
        <v>44326</v>
      </c>
      <c r="AJ303" s="652" t="s">
        <v>37</v>
      </c>
    </row>
    <row r="304" spans="1:36" ht="65.25" thickBot="1" x14ac:dyDescent="0.3">
      <c r="A304" s="488"/>
      <c r="B304" s="486"/>
      <c r="C304" s="407"/>
      <c r="D304" s="572"/>
      <c r="E304" s="572"/>
      <c r="F304" s="541"/>
      <c r="G304" s="541"/>
      <c r="H304" s="407"/>
      <c r="I304" s="541"/>
      <c r="J304" s="121"/>
      <c r="K304" s="192"/>
      <c r="L304" s="79"/>
      <c r="M304" s="916"/>
      <c r="N304" s="916"/>
      <c r="O304" s="78"/>
      <c r="P304" s="78"/>
      <c r="Q304" s="79"/>
      <c r="R304" s="80"/>
      <c r="S304" s="657" t="s">
        <v>91</v>
      </c>
      <c r="T304" s="335" t="s">
        <v>6538</v>
      </c>
      <c r="U304" s="25"/>
      <c r="V304" s="25"/>
      <c r="W304" s="25"/>
      <c r="X304" s="25">
        <v>1850</v>
      </c>
      <c r="Y304" s="25"/>
      <c r="Z304" s="25"/>
      <c r="AA304" s="25" t="s">
        <v>85</v>
      </c>
      <c r="AB304" s="25" t="s">
        <v>85</v>
      </c>
      <c r="AC304" s="25">
        <v>3</v>
      </c>
      <c r="AD304" s="52" t="s">
        <v>6541</v>
      </c>
      <c r="AE304" s="52" t="s">
        <v>6540</v>
      </c>
      <c r="AF304" s="52" t="s">
        <v>6372</v>
      </c>
      <c r="AG304" s="745">
        <v>44250</v>
      </c>
      <c r="AH304" s="52"/>
      <c r="AI304" s="745">
        <v>44326</v>
      </c>
      <c r="AJ304" s="653" t="s">
        <v>37</v>
      </c>
    </row>
    <row r="305" spans="1:36" x14ac:dyDescent="0.25">
      <c r="A305" s="488"/>
      <c r="B305" s="486"/>
      <c r="C305" s="407"/>
      <c r="D305" s="572"/>
      <c r="E305" s="572"/>
      <c r="F305" s="541"/>
      <c r="G305" s="541"/>
      <c r="H305" s="407"/>
      <c r="I305" s="541"/>
      <c r="J305" s="121"/>
      <c r="K305" s="187">
        <v>4039</v>
      </c>
      <c r="L305" s="73" t="s">
        <v>6547</v>
      </c>
      <c r="M305" s="914">
        <v>1937607.569997</v>
      </c>
      <c r="N305" s="914">
        <v>5788761.5562450001</v>
      </c>
      <c r="O305" s="72" t="s">
        <v>41</v>
      </c>
      <c r="P305" s="72">
        <v>2</v>
      </c>
      <c r="Q305" s="73" t="s">
        <v>2156</v>
      </c>
      <c r="R305" s="74" t="s">
        <v>2156</v>
      </c>
      <c r="S305" s="656" t="s">
        <v>47</v>
      </c>
      <c r="T305" s="97" t="s">
        <v>6398</v>
      </c>
      <c r="U305" s="31">
        <v>-37</v>
      </c>
      <c r="V305" s="31"/>
      <c r="W305" s="31"/>
      <c r="X305" s="31">
        <v>-37</v>
      </c>
      <c r="Y305" s="31"/>
      <c r="Z305" s="31"/>
      <c r="AA305" s="31" t="s">
        <v>10</v>
      </c>
      <c r="AB305" s="31" t="s">
        <v>10</v>
      </c>
      <c r="AC305" s="31">
        <v>1</v>
      </c>
      <c r="AD305" s="40" t="s">
        <v>6417</v>
      </c>
      <c r="AE305" s="40" t="s">
        <v>6540</v>
      </c>
      <c r="AF305" s="40" t="s">
        <v>6372</v>
      </c>
      <c r="AG305" s="744">
        <v>44250</v>
      </c>
      <c r="AH305" s="40"/>
      <c r="AI305" s="744">
        <v>44326</v>
      </c>
      <c r="AJ305" s="652" t="s">
        <v>37</v>
      </c>
    </row>
    <row r="306" spans="1:36" ht="65.25" thickBot="1" x14ac:dyDescent="0.3">
      <c r="A306" s="488"/>
      <c r="B306" s="486"/>
      <c r="C306" s="407"/>
      <c r="D306" s="572"/>
      <c r="E306" s="572"/>
      <c r="F306" s="541"/>
      <c r="G306" s="541"/>
      <c r="H306" s="407"/>
      <c r="I306" s="541"/>
      <c r="J306" s="121"/>
      <c r="K306" s="192"/>
      <c r="L306" s="79"/>
      <c r="M306" s="916"/>
      <c r="N306" s="916"/>
      <c r="O306" s="78"/>
      <c r="P306" s="78"/>
      <c r="Q306" s="79"/>
      <c r="R306" s="80"/>
      <c r="S306" s="657" t="s">
        <v>91</v>
      </c>
      <c r="T306" s="335" t="s">
        <v>6538</v>
      </c>
      <c r="U306" s="25"/>
      <c r="V306" s="25"/>
      <c r="W306" s="25"/>
      <c r="X306" s="25">
        <v>1850</v>
      </c>
      <c r="Y306" s="25"/>
      <c r="Z306" s="25"/>
      <c r="AA306" s="25" t="s">
        <v>85</v>
      </c>
      <c r="AB306" s="25" t="s">
        <v>85</v>
      </c>
      <c r="AC306" s="25">
        <v>3</v>
      </c>
      <c r="AD306" s="52" t="s">
        <v>6541</v>
      </c>
      <c r="AE306" s="52" t="s">
        <v>6540</v>
      </c>
      <c r="AF306" s="52" t="s">
        <v>6372</v>
      </c>
      <c r="AG306" s="745">
        <v>44250</v>
      </c>
      <c r="AH306" s="52"/>
      <c r="AI306" s="745">
        <v>44326</v>
      </c>
      <c r="AJ306" s="653" t="s">
        <v>37</v>
      </c>
    </row>
    <row r="307" spans="1:36" ht="39" x14ac:dyDescent="0.25">
      <c r="A307" s="488"/>
      <c r="B307" s="486"/>
      <c r="C307" s="407"/>
      <c r="D307" s="572"/>
      <c r="E307" s="572"/>
      <c r="F307" s="541"/>
      <c r="G307" s="541"/>
      <c r="H307" s="407"/>
      <c r="I307" s="541"/>
      <c r="J307" s="121"/>
      <c r="K307" s="188" t="s">
        <v>2156</v>
      </c>
      <c r="L307" s="547" t="s">
        <v>3783</v>
      </c>
      <c r="M307" s="926" t="s">
        <v>2156</v>
      </c>
      <c r="N307" s="926" t="s">
        <v>2156</v>
      </c>
      <c r="O307" s="407" t="s">
        <v>6542</v>
      </c>
      <c r="P307" s="407" t="s">
        <v>6543</v>
      </c>
      <c r="Q307" s="547" t="s">
        <v>6544</v>
      </c>
      <c r="R307" s="77" t="s">
        <v>85</v>
      </c>
      <c r="S307" s="658" t="s">
        <v>47</v>
      </c>
      <c r="T307" s="185" t="s">
        <v>6398</v>
      </c>
      <c r="U307" s="2">
        <v>-37</v>
      </c>
      <c r="X307" s="2">
        <v>-37</v>
      </c>
      <c r="AA307" s="2" t="s">
        <v>10</v>
      </c>
      <c r="AB307" s="2" t="s">
        <v>10</v>
      </c>
      <c r="AC307" s="2">
        <v>1</v>
      </c>
      <c r="AD307" s="3" t="s">
        <v>6417</v>
      </c>
      <c r="AE307" s="3" t="s">
        <v>6540</v>
      </c>
      <c r="AF307" s="3" t="s">
        <v>6372</v>
      </c>
      <c r="AG307" s="747">
        <v>44250</v>
      </c>
      <c r="AI307" s="747">
        <v>44326</v>
      </c>
      <c r="AJ307" s="1107" t="s">
        <v>37</v>
      </c>
    </row>
    <row r="308" spans="1:36" ht="65.25" thickBot="1" x14ac:dyDescent="0.3">
      <c r="A308" s="489"/>
      <c r="B308" s="133"/>
      <c r="C308" s="78"/>
      <c r="D308" s="569"/>
      <c r="E308" s="569"/>
      <c r="F308" s="119"/>
      <c r="G308" s="119"/>
      <c r="H308" s="78"/>
      <c r="I308" s="119"/>
      <c r="J308" s="429"/>
      <c r="K308" s="192"/>
      <c r="L308" s="79"/>
      <c r="M308" s="916"/>
      <c r="N308" s="916"/>
      <c r="O308" s="78"/>
      <c r="P308" s="78"/>
      <c r="Q308" s="79"/>
      <c r="R308" s="80"/>
      <c r="S308" s="657" t="s">
        <v>91</v>
      </c>
      <c r="T308" s="335" t="s">
        <v>6538</v>
      </c>
      <c r="U308" s="25"/>
      <c r="V308" s="25"/>
      <c r="W308" s="25"/>
      <c r="X308" s="25">
        <v>1850</v>
      </c>
      <c r="Y308" s="25"/>
      <c r="Z308" s="25"/>
      <c r="AA308" s="25" t="s">
        <v>85</v>
      </c>
      <c r="AB308" s="25" t="s">
        <v>85</v>
      </c>
      <c r="AC308" s="25">
        <v>3</v>
      </c>
      <c r="AD308" s="52" t="s">
        <v>6541</v>
      </c>
      <c r="AE308" s="52" t="s">
        <v>6540</v>
      </c>
      <c r="AF308" s="52" t="s">
        <v>6372</v>
      </c>
      <c r="AG308" s="745">
        <v>44250</v>
      </c>
      <c r="AH308" s="52"/>
      <c r="AI308" s="745">
        <v>44326</v>
      </c>
      <c r="AJ308" s="653" t="s">
        <v>37</v>
      </c>
    </row>
    <row r="309" spans="1:36" ht="64.5" x14ac:dyDescent="0.25">
      <c r="A309" s="341" t="s">
        <v>2113</v>
      </c>
      <c r="B309" s="181" t="s">
        <v>5044</v>
      </c>
      <c r="C309" s="125">
        <v>666</v>
      </c>
      <c r="D309" s="585" t="s">
        <v>52</v>
      </c>
      <c r="E309" s="585" t="s">
        <v>53</v>
      </c>
      <c r="F309" s="126" t="s">
        <v>4841</v>
      </c>
      <c r="G309" s="513" t="s">
        <v>4842</v>
      </c>
      <c r="H309" s="125" t="s">
        <v>85</v>
      </c>
      <c r="I309" s="355" t="s">
        <v>4843</v>
      </c>
      <c r="J309" s="247" t="s">
        <v>2116</v>
      </c>
      <c r="K309" s="189">
        <v>840</v>
      </c>
      <c r="L309" s="355" t="s">
        <v>4835</v>
      </c>
      <c r="M309" s="911">
        <v>1553683.7784</v>
      </c>
      <c r="N309" s="911">
        <v>5257333.4648000002</v>
      </c>
      <c r="O309" s="125" t="s">
        <v>41</v>
      </c>
      <c r="P309" s="125">
        <v>1</v>
      </c>
      <c r="Q309" s="355" t="s">
        <v>2156</v>
      </c>
      <c r="R309" s="134" t="s">
        <v>2156</v>
      </c>
      <c r="S309" s="38" t="s">
        <v>47</v>
      </c>
      <c r="T309" s="39" t="s">
        <v>4836</v>
      </c>
      <c r="U309" s="31">
        <v>5900</v>
      </c>
      <c r="V309" s="31">
        <f>5900-400</f>
        <v>5500</v>
      </c>
      <c r="W309" s="31">
        <f>5900+400</f>
        <v>6300</v>
      </c>
      <c r="X309" s="31"/>
      <c r="Y309" s="31"/>
      <c r="Z309" s="31"/>
      <c r="AA309" s="31" t="s">
        <v>85</v>
      </c>
      <c r="AB309" s="31" t="s">
        <v>16</v>
      </c>
      <c r="AC309" s="31">
        <v>3</v>
      </c>
      <c r="AD309" s="40" t="s">
        <v>4837</v>
      </c>
      <c r="AE309" s="40" t="s">
        <v>2116</v>
      </c>
      <c r="AF309" s="40" t="s">
        <v>37</v>
      </c>
      <c r="AG309" s="744">
        <v>44231</v>
      </c>
      <c r="AH309" s="40"/>
      <c r="AI309" s="31"/>
      <c r="AJ309" s="652"/>
    </row>
    <row r="310" spans="1:36" ht="116.25" thickBot="1" x14ac:dyDescent="0.3">
      <c r="A310" s="339"/>
      <c r="B310" s="116"/>
      <c r="C310" s="95"/>
      <c r="D310" s="567"/>
      <c r="E310" s="567"/>
      <c r="F310" s="108"/>
      <c r="G310" s="108"/>
      <c r="H310" s="95"/>
      <c r="I310" s="108"/>
      <c r="J310" s="122"/>
      <c r="K310" s="190">
        <v>841</v>
      </c>
      <c r="L310" s="357" t="s">
        <v>4832</v>
      </c>
      <c r="M310" s="912">
        <v>1553209.8637999999</v>
      </c>
      <c r="N310" s="912">
        <v>5256393.9480999997</v>
      </c>
      <c r="O310" s="96" t="s">
        <v>41</v>
      </c>
      <c r="P310" s="96">
        <v>1</v>
      </c>
      <c r="Q310" s="357" t="s">
        <v>2156</v>
      </c>
      <c r="R310" s="100" t="s">
        <v>2156</v>
      </c>
      <c r="S310" s="48" t="s">
        <v>91</v>
      </c>
      <c r="T310" s="49" t="s">
        <v>4833</v>
      </c>
      <c r="U310" s="25">
        <v>11400</v>
      </c>
      <c r="V310" s="25">
        <v>10000</v>
      </c>
      <c r="W310" s="25">
        <v>12800</v>
      </c>
      <c r="X310" s="25">
        <v>10500</v>
      </c>
      <c r="Y310" s="25">
        <v>9500</v>
      </c>
      <c r="Z310" s="25">
        <v>11500</v>
      </c>
      <c r="AA310" s="25" t="s">
        <v>16</v>
      </c>
      <c r="AB310" s="25" t="s">
        <v>16</v>
      </c>
      <c r="AC310" s="25">
        <v>2</v>
      </c>
      <c r="AD310" s="52" t="s">
        <v>4834</v>
      </c>
      <c r="AE310" s="52" t="s">
        <v>2116</v>
      </c>
      <c r="AF310" s="52" t="s">
        <v>37</v>
      </c>
      <c r="AG310" s="745">
        <v>44231</v>
      </c>
      <c r="AH310" s="52"/>
      <c r="AI310" s="25"/>
      <c r="AJ310" s="653"/>
    </row>
    <row r="311" spans="1:36" ht="52.5" thickBot="1" x14ac:dyDescent="0.3">
      <c r="A311" s="336"/>
      <c r="B311" s="196"/>
      <c r="C311" s="96"/>
      <c r="D311" s="566"/>
      <c r="E311" s="566"/>
      <c r="F311" s="107"/>
      <c r="G311" s="107"/>
      <c r="H311" s="96"/>
      <c r="I311" s="107"/>
      <c r="J311" s="123"/>
      <c r="K311" s="89">
        <v>842</v>
      </c>
      <c r="L311" s="396" t="s">
        <v>4838</v>
      </c>
      <c r="M311" s="265">
        <v>1548856.4325999999</v>
      </c>
      <c r="N311" s="265">
        <v>5252227.7275999999</v>
      </c>
      <c r="O311" s="84" t="s">
        <v>41</v>
      </c>
      <c r="P311" s="84">
        <v>1</v>
      </c>
      <c r="Q311" s="396" t="s">
        <v>2156</v>
      </c>
      <c r="R311" s="90" t="s">
        <v>2156</v>
      </c>
      <c r="S311" s="428" t="s">
        <v>47</v>
      </c>
      <c r="T311" s="243" t="s">
        <v>4839</v>
      </c>
      <c r="U311" s="86">
        <v>6131</v>
      </c>
      <c r="V311" s="517">
        <f>6131-132.5</f>
        <v>5998.5</v>
      </c>
      <c r="W311" s="517">
        <f>6131+132.5</f>
        <v>6263.5</v>
      </c>
      <c r="X311" s="86">
        <v>686</v>
      </c>
      <c r="Y311" s="86">
        <f>686-30</f>
        <v>656</v>
      </c>
      <c r="Z311" s="86">
        <f>686+30</f>
        <v>716</v>
      </c>
      <c r="AA311" s="86" t="s">
        <v>16</v>
      </c>
      <c r="AB311" s="86" t="s">
        <v>10</v>
      </c>
      <c r="AC311" s="86">
        <v>2</v>
      </c>
      <c r="AD311" s="92" t="s">
        <v>4840</v>
      </c>
      <c r="AE311" s="92" t="s">
        <v>2116</v>
      </c>
      <c r="AF311" s="92" t="s">
        <v>37</v>
      </c>
      <c r="AG311" s="743">
        <v>44231</v>
      </c>
      <c r="AH311" s="92"/>
      <c r="AI311" s="86"/>
      <c r="AJ311" s="1108"/>
    </row>
    <row r="312" spans="1:36" ht="65.25" thickBot="1" x14ac:dyDescent="0.3">
      <c r="A312" s="487" t="s">
        <v>2082</v>
      </c>
      <c r="B312" s="128" t="s">
        <v>2082</v>
      </c>
      <c r="C312" s="72">
        <v>714</v>
      </c>
      <c r="D312" s="586" t="s">
        <v>6745</v>
      </c>
      <c r="E312" s="586" t="s">
        <v>52</v>
      </c>
      <c r="F312" s="129" t="s">
        <v>6746</v>
      </c>
      <c r="G312" s="129" t="s">
        <v>6543</v>
      </c>
      <c r="H312" s="72" t="s">
        <v>85</v>
      </c>
      <c r="I312" s="73" t="s">
        <v>6747</v>
      </c>
      <c r="J312" s="128"/>
      <c r="K312" s="87">
        <v>4089</v>
      </c>
      <c r="L312" s="360" t="s">
        <v>6748</v>
      </c>
      <c r="M312" s="198">
        <v>1388668.295005</v>
      </c>
      <c r="N312" s="198">
        <v>5051608.1496489998</v>
      </c>
      <c r="O312" s="83" t="s">
        <v>41</v>
      </c>
      <c r="P312" s="83">
        <v>1</v>
      </c>
      <c r="Q312" s="360" t="s">
        <v>2156</v>
      </c>
      <c r="R312" s="88" t="s">
        <v>2156</v>
      </c>
      <c r="S312" s="683" t="s">
        <v>47</v>
      </c>
      <c r="T312" s="329" t="s">
        <v>6736</v>
      </c>
      <c r="U312" s="86"/>
      <c r="V312" s="86">
        <v>5600</v>
      </c>
      <c r="W312" s="86">
        <v>14000</v>
      </c>
      <c r="X312" s="86"/>
      <c r="Y312" s="86"/>
      <c r="Z312" s="86"/>
      <c r="AA312" s="86" t="s">
        <v>85</v>
      </c>
      <c r="AB312" s="86" t="s">
        <v>16</v>
      </c>
      <c r="AC312" s="86">
        <v>3</v>
      </c>
      <c r="AD312" s="92" t="s">
        <v>6749</v>
      </c>
      <c r="AE312" s="92" t="s">
        <v>2061</v>
      </c>
      <c r="AF312" s="92" t="s">
        <v>6372</v>
      </c>
      <c r="AG312" s="743">
        <v>44295</v>
      </c>
      <c r="AH312" s="92"/>
      <c r="AI312" s="743">
        <v>44326</v>
      </c>
      <c r="AJ312" s="1108" t="s">
        <v>37</v>
      </c>
    </row>
    <row r="313" spans="1:36" ht="52.5" thickBot="1" x14ac:dyDescent="0.3">
      <c r="A313" s="488"/>
      <c r="B313" s="486"/>
      <c r="C313" s="407"/>
      <c r="D313" s="572"/>
      <c r="E313" s="572"/>
      <c r="F313" s="541"/>
      <c r="G313" s="541"/>
      <c r="H313" s="407"/>
      <c r="I313" s="541"/>
      <c r="J313" s="486"/>
      <c r="K313" s="87">
        <v>4090</v>
      </c>
      <c r="L313" s="360" t="s">
        <v>6750</v>
      </c>
      <c r="M313" s="198">
        <v>1387663.164443</v>
      </c>
      <c r="N313" s="198">
        <v>5052248.9925260004</v>
      </c>
      <c r="O313" s="83" t="s">
        <v>6751</v>
      </c>
      <c r="P313" s="83" t="s">
        <v>6752</v>
      </c>
      <c r="Q313" s="360" t="s">
        <v>6753</v>
      </c>
      <c r="R313" s="88" t="s">
        <v>85</v>
      </c>
      <c r="S313" s="683" t="s">
        <v>47</v>
      </c>
      <c r="T313" s="329" t="s">
        <v>6754</v>
      </c>
      <c r="U313" s="86"/>
      <c r="V313" s="86">
        <v>8000</v>
      </c>
      <c r="W313" s="86">
        <v>28800</v>
      </c>
      <c r="X313" s="86"/>
      <c r="Y313" s="86"/>
      <c r="Z313" s="86"/>
      <c r="AA313" s="86" t="s">
        <v>85</v>
      </c>
      <c r="AB313" s="86" t="s">
        <v>10</v>
      </c>
      <c r="AC313" s="86">
        <v>3</v>
      </c>
      <c r="AD313" s="92" t="s">
        <v>6755</v>
      </c>
      <c r="AE313" s="92" t="s">
        <v>2061</v>
      </c>
      <c r="AF313" s="92" t="s">
        <v>6372</v>
      </c>
      <c r="AG313" s="743">
        <v>44295</v>
      </c>
      <c r="AH313" s="92"/>
      <c r="AI313" s="743">
        <v>44326</v>
      </c>
      <c r="AJ313" s="1108" t="s">
        <v>37</v>
      </c>
    </row>
    <row r="314" spans="1:36" ht="77.25" x14ac:dyDescent="0.25">
      <c r="A314" s="488"/>
      <c r="B314" s="486"/>
      <c r="C314" s="407"/>
      <c r="D314" s="572"/>
      <c r="E314" s="572"/>
      <c r="F314" s="541"/>
      <c r="G314" s="541"/>
      <c r="H314" s="407"/>
      <c r="I314" s="541"/>
      <c r="J314" s="486"/>
      <c r="K314" s="187">
        <v>4091</v>
      </c>
      <c r="L314" s="73" t="s">
        <v>6756</v>
      </c>
      <c r="M314" s="914">
        <v>1387604.308311</v>
      </c>
      <c r="N314" s="914">
        <v>5052287.1649989998</v>
      </c>
      <c r="O314" s="72" t="s">
        <v>6757</v>
      </c>
      <c r="P314" s="72" t="s">
        <v>6758</v>
      </c>
      <c r="Q314" s="73" t="s">
        <v>6759</v>
      </c>
      <c r="R314" s="74" t="s">
        <v>85</v>
      </c>
      <c r="S314" s="656" t="s">
        <v>47</v>
      </c>
      <c r="T314" s="340" t="s">
        <v>6760</v>
      </c>
      <c r="U314" s="31"/>
      <c r="V314" s="31">
        <v>4800</v>
      </c>
      <c r="W314" s="31">
        <v>19700</v>
      </c>
      <c r="X314" s="31"/>
      <c r="Y314" s="31"/>
      <c r="Z314" s="31"/>
      <c r="AA314" s="31" t="s">
        <v>85</v>
      </c>
      <c r="AB314" s="31" t="s">
        <v>16</v>
      </c>
      <c r="AC314" s="31">
        <v>3</v>
      </c>
      <c r="AD314" s="40" t="s">
        <v>6761</v>
      </c>
      <c r="AE314" s="40" t="s">
        <v>2061</v>
      </c>
      <c r="AF314" s="40" t="s">
        <v>6372</v>
      </c>
      <c r="AG314" s="744">
        <v>44295</v>
      </c>
      <c r="AH314" s="40"/>
      <c r="AI314" s="744">
        <v>44326</v>
      </c>
      <c r="AJ314" s="652" t="s">
        <v>37</v>
      </c>
    </row>
    <row r="315" spans="1:36" ht="64.5" x14ac:dyDescent="0.25">
      <c r="A315" s="488"/>
      <c r="B315" s="486"/>
      <c r="C315" s="407"/>
      <c r="D315" s="572"/>
      <c r="E315" s="572"/>
      <c r="F315" s="541"/>
      <c r="G315" s="541"/>
      <c r="H315" s="407"/>
      <c r="I315" s="541"/>
      <c r="J315" s="486"/>
      <c r="K315" s="188"/>
      <c r="L315" s="76"/>
      <c r="M315" s="915"/>
      <c r="N315" s="915"/>
      <c r="O315" s="75"/>
      <c r="P315" s="75"/>
      <c r="Q315" s="76"/>
      <c r="R315" s="77"/>
      <c r="S315" s="658" t="s">
        <v>91</v>
      </c>
      <c r="T315" s="179" t="s">
        <v>6760</v>
      </c>
      <c r="U315" s="24"/>
      <c r="V315" s="24">
        <v>4800</v>
      </c>
      <c r="W315" s="24">
        <v>19700</v>
      </c>
      <c r="X315" s="24"/>
      <c r="Y315" s="24"/>
      <c r="Z315" s="24"/>
      <c r="AA315" s="24" t="s">
        <v>85</v>
      </c>
      <c r="AB315" s="24" t="s">
        <v>16</v>
      </c>
      <c r="AC315" s="24">
        <v>3</v>
      </c>
      <c r="AD315" s="46" t="s">
        <v>6762</v>
      </c>
      <c r="AE315" s="46" t="s">
        <v>2061</v>
      </c>
      <c r="AF315" s="46" t="s">
        <v>6372</v>
      </c>
      <c r="AG315" s="746">
        <v>44295</v>
      </c>
      <c r="AH315" s="46"/>
      <c r="AI315" s="746">
        <v>44326</v>
      </c>
      <c r="AJ315" s="1107" t="s">
        <v>37</v>
      </c>
    </row>
    <row r="316" spans="1:36" ht="52.5" thickBot="1" x14ac:dyDescent="0.3">
      <c r="A316" s="488"/>
      <c r="B316" s="486"/>
      <c r="C316" s="407"/>
      <c r="D316" s="572"/>
      <c r="E316" s="572"/>
      <c r="F316" s="541"/>
      <c r="G316" s="541"/>
      <c r="H316" s="407"/>
      <c r="I316" s="541"/>
      <c r="J316" s="486"/>
      <c r="K316" s="192"/>
      <c r="L316" s="79"/>
      <c r="M316" s="916"/>
      <c r="N316" s="916"/>
      <c r="O316" s="78"/>
      <c r="P316" s="78"/>
      <c r="Q316" s="79"/>
      <c r="R316" s="80"/>
      <c r="S316" s="657" t="s">
        <v>92</v>
      </c>
      <c r="T316" s="335" t="s">
        <v>6763</v>
      </c>
      <c r="U316" s="25">
        <v>18000</v>
      </c>
      <c r="V316" s="25">
        <f>18000-2300*2</f>
        <v>13400</v>
      </c>
      <c r="W316" s="25">
        <f>18000+2300*2</f>
        <v>22600</v>
      </c>
      <c r="X316" s="25"/>
      <c r="Y316" s="25"/>
      <c r="Z316" s="25"/>
      <c r="AA316" s="25" t="s">
        <v>85</v>
      </c>
      <c r="AB316" s="25" t="s">
        <v>16</v>
      </c>
      <c r="AC316" s="25">
        <v>3</v>
      </c>
      <c r="AD316" s="52" t="s">
        <v>6764</v>
      </c>
      <c r="AE316" s="52" t="s">
        <v>2061</v>
      </c>
      <c r="AF316" s="52" t="s">
        <v>6372</v>
      </c>
      <c r="AG316" s="745">
        <v>44295</v>
      </c>
      <c r="AH316" s="52"/>
      <c r="AI316" s="745">
        <v>44326</v>
      </c>
      <c r="AJ316" s="653" t="s">
        <v>37</v>
      </c>
    </row>
    <row r="317" spans="1:36" ht="78" thickBot="1" x14ac:dyDescent="0.3">
      <c r="A317" s="488"/>
      <c r="B317" s="486"/>
      <c r="C317" s="407"/>
      <c r="D317" s="572"/>
      <c r="E317" s="572"/>
      <c r="F317" s="541"/>
      <c r="G317" s="541"/>
      <c r="H317" s="407"/>
      <c r="I317" s="541"/>
      <c r="J317" s="486"/>
      <c r="K317" s="87">
        <v>4092</v>
      </c>
      <c r="L317" s="360" t="s">
        <v>6765</v>
      </c>
      <c r="M317" s="198">
        <v>1387326.83017</v>
      </c>
      <c r="N317" s="198">
        <v>5052325.0298199998</v>
      </c>
      <c r="O317" s="83" t="s">
        <v>41</v>
      </c>
      <c r="P317" s="83">
        <v>1</v>
      </c>
      <c r="Q317" s="360" t="s">
        <v>2156</v>
      </c>
      <c r="R317" s="88" t="s">
        <v>2156</v>
      </c>
      <c r="S317" s="683" t="s">
        <v>47</v>
      </c>
      <c r="T317" s="329" t="s">
        <v>6766</v>
      </c>
      <c r="U317" s="86"/>
      <c r="V317" s="86">
        <v>6200</v>
      </c>
      <c r="W317" s="86">
        <v>19100</v>
      </c>
      <c r="X317" s="86"/>
      <c r="Y317" s="86"/>
      <c r="Z317" s="86"/>
      <c r="AA317" s="86" t="s">
        <v>85</v>
      </c>
      <c r="AB317" s="86" t="s">
        <v>85</v>
      </c>
      <c r="AC317" s="86">
        <v>3</v>
      </c>
      <c r="AD317" s="92" t="s">
        <v>6767</v>
      </c>
      <c r="AE317" s="92" t="s">
        <v>2061</v>
      </c>
      <c r="AF317" s="92" t="s">
        <v>6372</v>
      </c>
      <c r="AG317" s="743">
        <v>44295</v>
      </c>
      <c r="AH317" s="92"/>
      <c r="AI317" s="743">
        <v>44326</v>
      </c>
      <c r="AJ317" s="1108" t="s">
        <v>37</v>
      </c>
    </row>
    <row r="318" spans="1:36" ht="39" x14ac:dyDescent="0.25">
      <c r="A318" s="488"/>
      <c r="B318" s="486"/>
      <c r="C318" s="407"/>
      <c r="D318" s="572"/>
      <c r="E318" s="572"/>
      <c r="F318" s="541"/>
      <c r="G318" s="541"/>
      <c r="H318" s="407"/>
      <c r="I318" s="541"/>
      <c r="J318" s="486"/>
      <c r="K318" s="188">
        <v>4093</v>
      </c>
      <c r="L318" s="547" t="s">
        <v>6768</v>
      </c>
      <c r="M318" s="926">
        <v>1385545.2893290001</v>
      </c>
      <c r="N318" s="926">
        <v>5053497.2054960001</v>
      </c>
      <c r="O318" s="407" t="s">
        <v>6769</v>
      </c>
      <c r="P318" s="407" t="s">
        <v>6543</v>
      </c>
      <c r="Q318" s="547" t="s">
        <v>6770</v>
      </c>
      <c r="R318" s="77" t="s">
        <v>85</v>
      </c>
      <c r="S318" s="654" t="s">
        <v>47</v>
      </c>
      <c r="T318" s="337" t="s">
        <v>6771</v>
      </c>
      <c r="U318" s="2">
        <v>16000</v>
      </c>
      <c r="X318" s="2">
        <v>13200</v>
      </c>
      <c r="AA318" s="2" t="s">
        <v>85</v>
      </c>
      <c r="AB318" s="2" t="s">
        <v>16</v>
      </c>
      <c r="AC318" s="2">
        <v>3</v>
      </c>
      <c r="AD318" s="3" t="s">
        <v>6772</v>
      </c>
      <c r="AE318" s="3" t="s">
        <v>2061</v>
      </c>
      <c r="AF318" s="3" t="s">
        <v>6372</v>
      </c>
      <c r="AG318" s="747">
        <v>44305</v>
      </c>
      <c r="AI318" s="747">
        <v>44326</v>
      </c>
      <c r="AJ318" s="1107" t="s">
        <v>37</v>
      </c>
    </row>
    <row r="319" spans="1:36" ht="39.75" thickBot="1" x14ac:dyDescent="0.3">
      <c r="A319" s="488"/>
      <c r="B319" s="131"/>
      <c r="C319" s="75"/>
      <c r="D319" s="568"/>
      <c r="E319" s="568"/>
      <c r="F319" s="118"/>
      <c r="G319" s="118"/>
      <c r="H319" s="75"/>
      <c r="I319" s="118"/>
      <c r="J319" s="131"/>
      <c r="K319" s="192"/>
      <c r="L319" s="79"/>
      <c r="M319" s="916"/>
      <c r="N319" s="916"/>
      <c r="O319" s="78"/>
      <c r="P319" s="78"/>
      <c r="Q319" s="79"/>
      <c r="R319" s="80"/>
      <c r="S319" s="22" t="s">
        <v>91</v>
      </c>
      <c r="T319" s="179" t="s">
        <v>6771</v>
      </c>
      <c r="U319" s="24">
        <v>16000</v>
      </c>
      <c r="V319" s="24"/>
      <c r="W319" s="24"/>
      <c r="X319" s="24">
        <v>13200</v>
      </c>
      <c r="Y319" s="24"/>
      <c r="Z319" s="24"/>
      <c r="AA319" s="24" t="s">
        <v>85</v>
      </c>
      <c r="AB319" s="24" t="s">
        <v>16</v>
      </c>
      <c r="AC319" s="24">
        <v>3</v>
      </c>
      <c r="AD319" s="46" t="s">
        <v>6772</v>
      </c>
      <c r="AE319" s="46" t="s">
        <v>2061</v>
      </c>
      <c r="AF319" s="46" t="s">
        <v>6372</v>
      </c>
      <c r="AG319" s="746">
        <v>44305</v>
      </c>
      <c r="AH319" s="46"/>
      <c r="AI319" s="746">
        <v>44326</v>
      </c>
      <c r="AJ319" s="1107" t="s">
        <v>37</v>
      </c>
    </row>
    <row r="320" spans="1:36" ht="116.25" thickBot="1" x14ac:dyDescent="0.3">
      <c r="A320" s="681" t="s">
        <v>2877</v>
      </c>
      <c r="B320" s="682" t="s">
        <v>2877</v>
      </c>
      <c r="C320" s="663">
        <v>689</v>
      </c>
      <c r="D320" s="781" t="s">
        <v>52</v>
      </c>
      <c r="E320" s="781" t="s">
        <v>53</v>
      </c>
      <c r="F320" s="675"/>
      <c r="G320" s="675"/>
      <c r="H320" s="663">
        <v>3</v>
      </c>
      <c r="I320" s="665" t="s">
        <v>7917</v>
      </c>
      <c r="J320" s="1124" t="s">
        <v>2886</v>
      </c>
      <c r="K320" s="688">
        <v>4030</v>
      </c>
      <c r="L320" s="690" t="s">
        <v>6514</v>
      </c>
      <c r="M320" s="973">
        <v>1415670.973434</v>
      </c>
      <c r="N320" s="973">
        <v>5123854.4614260001</v>
      </c>
      <c r="O320" s="689" t="s">
        <v>41</v>
      </c>
      <c r="P320" s="689">
        <v>1</v>
      </c>
      <c r="Q320" s="690" t="s">
        <v>2156</v>
      </c>
      <c r="R320" s="689" t="s">
        <v>2156</v>
      </c>
      <c r="S320" s="683" t="s">
        <v>47</v>
      </c>
      <c r="T320" s="329" t="s">
        <v>6515</v>
      </c>
      <c r="U320" s="86">
        <v>8556</v>
      </c>
      <c r="V320" s="86"/>
      <c r="W320" s="86"/>
      <c r="X320" s="86">
        <v>8416</v>
      </c>
      <c r="Y320" s="86"/>
      <c r="Z320" s="86"/>
      <c r="AA320" s="86" t="s">
        <v>16</v>
      </c>
      <c r="AB320" s="86" t="s">
        <v>10</v>
      </c>
      <c r="AC320" s="86">
        <v>2</v>
      </c>
      <c r="AD320" s="92" t="s">
        <v>6516</v>
      </c>
      <c r="AE320" s="92" t="s">
        <v>2886</v>
      </c>
      <c r="AF320" s="92" t="s">
        <v>6372</v>
      </c>
      <c r="AG320" s="743">
        <v>44238</v>
      </c>
      <c r="AH320" s="92"/>
      <c r="AI320" s="743">
        <v>44326</v>
      </c>
      <c r="AJ320" s="1108" t="s">
        <v>37</v>
      </c>
    </row>
    <row r="321" spans="1:36" ht="116.25" thickBot="1" x14ac:dyDescent="0.3">
      <c r="A321" s="1115"/>
      <c r="B321" s="1116"/>
      <c r="C321" s="678"/>
      <c r="D321" s="785"/>
      <c r="E321" s="785"/>
      <c r="F321" s="677"/>
      <c r="G321" s="677"/>
      <c r="H321" s="678"/>
      <c r="I321" s="677"/>
      <c r="J321" s="1125"/>
      <c r="K321" s="688">
        <v>4031</v>
      </c>
      <c r="L321" s="690" t="s">
        <v>6468</v>
      </c>
      <c r="M321" s="973">
        <v>1415720.35528</v>
      </c>
      <c r="N321" s="973">
        <v>5123822.4510300001</v>
      </c>
      <c r="O321" s="689" t="s">
        <v>41</v>
      </c>
      <c r="P321" s="689">
        <v>1</v>
      </c>
      <c r="Q321" s="690" t="s">
        <v>2156</v>
      </c>
      <c r="R321" s="689" t="s">
        <v>2156</v>
      </c>
      <c r="S321" s="683" t="s">
        <v>47</v>
      </c>
      <c r="T321" s="329" t="s">
        <v>6517</v>
      </c>
      <c r="U321" s="86">
        <f>8438-70</f>
        <v>8368</v>
      </c>
      <c r="V321" s="86"/>
      <c r="W321" s="86"/>
      <c r="X321" s="86">
        <f>8438+70</f>
        <v>8508</v>
      </c>
      <c r="Y321" s="86"/>
      <c r="Z321" s="86"/>
      <c r="AA321" s="86" t="s">
        <v>16</v>
      </c>
      <c r="AB321" s="86" t="s">
        <v>10</v>
      </c>
      <c r="AC321" s="86">
        <v>2</v>
      </c>
      <c r="AD321" s="92" t="s">
        <v>6518</v>
      </c>
      <c r="AE321" s="92" t="s">
        <v>2886</v>
      </c>
      <c r="AF321" s="92" t="s">
        <v>6372</v>
      </c>
      <c r="AG321" s="743">
        <v>44238</v>
      </c>
      <c r="AH321" s="92"/>
      <c r="AI321" s="743">
        <v>44326</v>
      </c>
      <c r="AJ321" s="1108" t="s">
        <v>37</v>
      </c>
    </row>
    <row r="322" spans="1:36" ht="103.5" thickBot="1" x14ac:dyDescent="0.3">
      <c r="A322" s="1115"/>
      <c r="B322" s="1116"/>
      <c r="C322" s="678"/>
      <c r="D322" s="785"/>
      <c r="E322" s="785"/>
      <c r="F322" s="677"/>
      <c r="G322" s="677"/>
      <c r="H322" s="678"/>
      <c r="I322" s="677"/>
      <c r="J322" s="1125"/>
      <c r="K322" s="688">
        <v>4032</v>
      </c>
      <c r="L322" s="690" t="s">
        <v>6519</v>
      </c>
      <c r="M322" s="973">
        <v>1415597.7518499999</v>
      </c>
      <c r="N322" s="973">
        <v>5123025.0836800002</v>
      </c>
      <c r="O322" s="689" t="s">
        <v>41</v>
      </c>
      <c r="P322" s="689">
        <v>1</v>
      </c>
      <c r="Q322" s="690" t="s">
        <v>2156</v>
      </c>
      <c r="R322" s="689" t="s">
        <v>2156</v>
      </c>
      <c r="S322" s="683" t="s">
        <v>47</v>
      </c>
      <c r="T322" s="329" t="s">
        <v>6520</v>
      </c>
      <c r="U322" s="86">
        <v>2680</v>
      </c>
      <c r="V322" s="86"/>
      <c r="W322" s="86"/>
      <c r="X322" s="86">
        <v>2346</v>
      </c>
      <c r="Y322" s="86"/>
      <c r="Z322" s="86"/>
      <c r="AA322" s="86" t="s">
        <v>85</v>
      </c>
      <c r="AB322" s="86" t="s">
        <v>10</v>
      </c>
      <c r="AC322" s="86">
        <v>3</v>
      </c>
      <c r="AD322" s="92" t="s">
        <v>6521</v>
      </c>
      <c r="AE322" s="92" t="s">
        <v>2886</v>
      </c>
      <c r="AF322" s="92" t="s">
        <v>6372</v>
      </c>
      <c r="AG322" s="743">
        <v>44238</v>
      </c>
      <c r="AH322" s="92"/>
      <c r="AI322" s="743">
        <v>44326</v>
      </c>
      <c r="AJ322" s="1108" t="s">
        <v>37</v>
      </c>
    </row>
    <row r="323" spans="1:36" ht="77.25" x14ac:dyDescent="0.25">
      <c r="A323" s="1115"/>
      <c r="B323" s="1116"/>
      <c r="C323" s="678"/>
      <c r="D323" s="785"/>
      <c r="E323" s="785"/>
      <c r="F323" s="677"/>
      <c r="G323" s="677"/>
      <c r="H323" s="678"/>
      <c r="I323" s="677"/>
      <c r="J323" s="1125"/>
      <c r="K323" s="664">
        <v>4033</v>
      </c>
      <c r="L323" s="665" t="s">
        <v>6522</v>
      </c>
      <c r="M323" s="974">
        <v>1425489.9332999999</v>
      </c>
      <c r="N323" s="974">
        <v>5140015.1886600005</v>
      </c>
      <c r="O323" s="663" t="s">
        <v>6523</v>
      </c>
      <c r="P323" s="663">
        <v>3</v>
      </c>
      <c r="Q323" s="665" t="s">
        <v>6524</v>
      </c>
      <c r="R323" s="663" t="s">
        <v>85</v>
      </c>
      <c r="S323" s="656" t="s">
        <v>47</v>
      </c>
      <c r="T323" s="340" t="s">
        <v>6525</v>
      </c>
      <c r="U323" s="31">
        <v>3558</v>
      </c>
      <c r="V323" s="31"/>
      <c r="W323" s="31"/>
      <c r="X323" s="31">
        <v>3400</v>
      </c>
      <c r="Y323" s="31"/>
      <c r="Z323" s="31"/>
      <c r="AA323" s="31" t="s">
        <v>85</v>
      </c>
      <c r="AB323" s="31" t="s">
        <v>10</v>
      </c>
      <c r="AC323" s="31">
        <v>3</v>
      </c>
      <c r="AD323" s="40" t="s">
        <v>6526</v>
      </c>
      <c r="AE323" s="40" t="s">
        <v>2886</v>
      </c>
      <c r="AF323" s="40" t="s">
        <v>6372</v>
      </c>
      <c r="AG323" s="744">
        <v>44250</v>
      </c>
      <c r="AH323" s="40"/>
      <c r="AI323" s="744">
        <v>44326</v>
      </c>
      <c r="AJ323" s="652" t="s">
        <v>37</v>
      </c>
    </row>
    <row r="324" spans="1:36" ht="39" x14ac:dyDescent="0.25">
      <c r="A324" s="1115"/>
      <c r="B324" s="1116"/>
      <c r="C324" s="678"/>
      <c r="D324" s="785"/>
      <c r="E324" s="785"/>
      <c r="F324" s="677"/>
      <c r="G324" s="677"/>
      <c r="H324" s="678"/>
      <c r="I324" s="677"/>
      <c r="J324" s="1125"/>
      <c r="K324" s="668"/>
      <c r="L324" s="679"/>
      <c r="M324" s="975"/>
      <c r="N324" s="975"/>
      <c r="O324" s="678"/>
      <c r="P324" s="678"/>
      <c r="Q324" s="679"/>
      <c r="R324" s="678"/>
      <c r="S324" s="658" t="s">
        <v>91</v>
      </c>
      <c r="T324" s="179" t="s">
        <v>6527</v>
      </c>
      <c r="U324" s="24">
        <v>16400</v>
      </c>
      <c r="V324" s="24">
        <v>14400</v>
      </c>
      <c r="W324" s="24">
        <v>18400</v>
      </c>
      <c r="X324" s="24"/>
      <c r="Y324" s="24"/>
      <c r="Z324" s="24"/>
      <c r="AA324" s="24" t="s">
        <v>85</v>
      </c>
      <c r="AB324" s="24" t="s">
        <v>16</v>
      </c>
      <c r="AC324" s="24">
        <v>3</v>
      </c>
      <c r="AD324" s="46" t="s">
        <v>6528</v>
      </c>
      <c r="AE324" s="46" t="s">
        <v>2886</v>
      </c>
      <c r="AF324" s="46" t="s">
        <v>6372</v>
      </c>
      <c r="AG324" s="746">
        <v>44250</v>
      </c>
      <c r="AH324" s="46"/>
      <c r="AI324" s="746">
        <v>44326</v>
      </c>
      <c r="AJ324" s="1107" t="s">
        <v>37</v>
      </c>
    </row>
    <row r="325" spans="1:36" ht="39.75" thickBot="1" x14ac:dyDescent="0.3">
      <c r="A325" s="1115"/>
      <c r="B325" s="1116"/>
      <c r="C325" s="678"/>
      <c r="D325" s="785"/>
      <c r="E325" s="785"/>
      <c r="F325" s="677"/>
      <c r="G325" s="677"/>
      <c r="H325" s="678"/>
      <c r="I325" s="677"/>
      <c r="J325" s="1125"/>
      <c r="K325" s="672"/>
      <c r="L325" s="673"/>
      <c r="M325" s="976"/>
      <c r="N325" s="976"/>
      <c r="O325" s="671"/>
      <c r="P325" s="671"/>
      <c r="Q325" s="673"/>
      <c r="R325" s="671"/>
      <c r="S325" s="657" t="s">
        <v>92</v>
      </c>
      <c r="T325" s="335" t="s">
        <v>6527</v>
      </c>
      <c r="U325" s="25">
        <v>16400</v>
      </c>
      <c r="V325" s="25">
        <v>14400</v>
      </c>
      <c r="W325" s="25">
        <v>18400</v>
      </c>
      <c r="X325" s="25"/>
      <c r="Y325" s="25"/>
      <c r="Z325" s="25"/>
      <c r="AA325" s="25" t="s">
        <v>85</v>
      </c>
      <c r="AB325" s="25" t="s">
        <v>16</v>
      </c>
      <c r="AC325" s="25">
        <v>3</v>
      </c>
      <c r="AD325" s="52" t="s">
        <v>6528</v>
      </c>
      <c r="AE325" s="52" t="s">
        <v>2886</v>
      </c>
      <c r="AF325" s="52" t="s">
        <v>6372</v>
      </c>
      <c r="AG325" s="745">
        <v>44250</v>
      </c>
      <c r="AH325" s="52"/>
      <c r="AI325" s="745">
        <v>44326</v>
      </c>
      <c r="AJ325" s="653" t="s">
        <v>37</v>
      </c>
    </row>
    <row r="326" spans="1:36" ht="90" x14ac:dyDescent="0.25">
      <c r="A326" s="1115"/>
      <c r="B326" s="1116"/>
      <c r="C326" s="678"/>
      <c r="D326" s="785"/>
      <c r="E326" s="785"/>
      <c r="F326" s="677"/>
      <c r="G326" s="677"/>
      <c r="H326" s="678"/>
      <c r="I326" s="677"/>
      <c r="J326" s="1125"/>
      <c r="K326" s="664">
        <v>4034</v>
      </c>
      <c r="L326" s="665" t="s">
        <v>6529</v>
      </c>
      <c r="M326" s="974">
        <v>1423613.2849999999</v>
      </c>
      <c r="N326" s="974">
        <v>5154489.0917600002</v>
      </c>
      <c r="O326" s="663" t="s">
        <v>6530</v>
      </c>
      <c r="P326" s="663">
        <v>3</v>
      </c>
      <c r="Q326" s="665" t="s">
        <v>6531</v>
      </c>
      <c r="R326" s="663" t="s">
        <v>85</v>
      </c>
      <c r="S326" s="656" t="s">
        <v>47</v>
      </c>
      <c r="T326" s="340" t="s">
        <v>6532</v>
      </c>
      <c r="U326" s="31">
        <v>3514</v>
      </c>
      <c r="V326" s="31">
        <v>3446</v>
      </c>
      <c r="W326" s="31">
        <v>3582</v>
      </c>
      <c r="X326" s="31">
        <v>539</v>
      </c>
      <c r="Y326" s="31">
        <v>523</v>
      </c>
      <c r="Z326" s="31">
        <v>555</v>
      </c>
      <c r="AA326" s="31" t="s">
        <v>16</v>
      </c>
      <c r="AB326" s="31" t="s">
        <v>16</v>
      </c>
      <c r="AC326" s="31">
        <v>2</v>
      </c>
      <c r="AD326" s="40" t="s">
        <v>6533</v>
      </c>
      <c r="AE326" s="40" t="s">
        <v>2886</v>
      </c>
      <c r="AF326" s="40" t="s">
        <v>6372</v>
      </c>
      <c r="AG326" s="744">
        <v>44250</v>
      </c>
      <c r="AH326" s="40"/>
      <c r="AI326" s="744">
        <v>44326</v>
      </c>
      <c r="AJ326" s="652" t="s">
        <v>37</v>
      </c>
    </row>
    <row r="327" spans="1:36" ht="77.25" x14ac:dyDescent="0.25">
      <c r="A327" s="1115"/>
      <c r="B327" s="1116"/>
      <c r="C327" s="678"/>
      <c r="D327" s="785"/>
      <c r="E327" s="785"/>
      <c r="F327" s="677"/>
      <c r="G327" s="677"/>
      <c r="H327" s="678"/>
      <c r="I327" s="677"/>
      <c r="J327" s="1125"/>
      <c r="K327" s="668"/>
      <c r="L327" s="679"/>
      <c r="M327" s="975"/>
      <c r="N327" s="975"/>
      <c r="O327" s="678"/>
      <c r="P327" s="678"/>
      <c r="Q327" s="679"/>
      <c r="R327" s="678"/>
      <c r="S327" s="658" t="s">
        <v>91</v>
      </c>
      <c r="T327" s="179" t="s">
        <v>6534</v>
      </c>
      <c r="U327" s="24">
        <v>5570</v>
      </c>
      <c r="V327" s="24">
        <v>4959</v>
      </c>
      <c r="W327" s="24">
        <v>6181</v>
      </c>
      <c r="X327" s="24">
        <v>3514</v>
      </c>
      <c r="Y327" s="24">
        <v>3446</v>
      </c>
      <c r="Z327" s="24">
        <v>6582</v>
      </c>
      <c r="AA327" s="24" t="s">
        <v>16</v>
      </c>
      <c r="AB327" s="24" t="s">
        <v>16</v>
      </c>
      <c r="AC327" s="24">
        <v>2</v>
      </c>
      <c r="AD327" s="46" t="s">
        <v>6535</v>
      </c>
      <c r="AE327" s="46" t="s">
        <v>2886</v>
      </c>
      <c r="AF327" s="46" t="s">
        <v>6372</v>
      </c>
      <c r="AG327" s="746">
        <v>44250</v>
      </c>
      <c r="AH327" s="46"/>
      <c r="AI327" s="746">
        <v>44326</v>
      </c>
      <c r="AJ327" s="1107" t="s">
        <v>37</v>
      </c>
    </row>
    <row r="328" spans="1:36" ht="78" thickBot="1" x14ac:dyDescent="0.3">
      <c r="A328" s="1117"/>
      <c r="B328" s="1118"/>
      <c r="C328" s="671"/>
      <c r="D328" s="783"/>
      <c r="E328" s="783"/>
      <c r="F328" s="680"/>
      <c r="G328" s="680"/>
      <c r="H328" s="671"/>
      <c r="I328" s="680"/>
      <c r="J328" s="1126"/>
      <c r="K328" s="672"/>
      <c r="L328" s="673"/>
      <c r="M328" s="976"/>
      <c r="N328" s="976"/>
      <c r="O328" s="671"/>
      <c r="P328" s="671"/>
      <c r="Q328" s="673"/>
      <c r="R328" s="671"/>
      <c r="S328" s="657" t="s">
        <v>92</v>
      </c>
      <c r="T328" s="335" t="s">
        <v>6536</v>
      </c>
      <c r="U328" s="25"/>
      <c r="V328" s="25"/>
      <c r="W328" s="25"/>
      <c r="X328" s="25">
        <v>5570</v>
      </c>
      <c r="Y328" s="25">
        <v>4959</v>
      </c>
      <c r="Z328" s="25">
        <v>6181</v>
      </c>
      <c r="AA328" s="25" t="s">
        <v>85</v>
      </c>
      <c r="AB328" s="25" t="s">
        <v>16</v>
      </c>
      <c r="AC328" s="25">
        <v>3</v>
      </c>
      <c r="AD328" s="52" t="s">
        <v>6537</v>
      </c>
      <c r="AE328" s="52" t="s">
        <v>2886</v>
      </c>
      <c r="AF328" s="52" t="s">
        <v>6372</v>
      </c>
      <c r="AG328" s="745">
        <v>44250</v>
      </c>
      <c r="AH328" s="52"/>
      <c r="AI328" s="745">
        <v>44326</v>
      </c>
      <c r="AJ328" s="653" t="s">
        <v>37</v>
      </c>
    </row>
    <row r="329" spans="1:36" x14ac:dyDescent="0.25">
      <c r="A329" s="487" t="s">
        <v>6382</v>
      </c>
      <c r="B329" s="128" t="s">
        <v>6382</v>
      </c>
      <c r="C329" s="72">
        <v>664</v>
      </c>
      <c r="D329" s="586" t="s">
        <v>53</v>
      </c>
      <c r="E329" s="586" t="s">
        <v>52</v>
      </c>
      <c r="F329" s="129"/>
      <c r="G329" s="129"/>
      <c r="H329" s="72"/>
      <c r="I329" s="129"/>
      <c r="J329" s="381"/>
      <c r="K329" s="187">
        <v>4002</v>
      </c>
      <c r="L329" s="73" t="s">
        <v>6383</v>
      </c>
      <c r="M329" s="914">
        <v>1535195.0218700001</v>
      </c>
      <c r="N329" s="914">
        <v>5172754.3320199996</v>
      </c>
      <c r="O329" s="72" t="s">
        <v>41</v>
      </c>
      <c r="P329" s="72">
        <v>2</v>
      </c>
      <c r="Q329" s="73" t="s">
        <v>2156</v>
      </c>
      <c r="R329" s="74" t="s">
        <v>2156</v>
      </c>
      <c r="S329" s="656" t="s">
        <v>47</v>
      </c>
      <c r="T329" s="340" t="s">
        <v>6384</v>
      </c>
      <c r="U329" s="31">
        <f>1950-2010</f>
        <v>-60</v>
      </c>
      <c r="V329" s="31"/>
      <c r="W329" s="31"/>
      <c r="X329" s="31">
        <f>1950-2010</f>
        <v>-60</v>
      </c>
      <c r="Y329" s="31"/>
      <c r="Z329" s="31"/>
      <c r="AA329" s="31" t="s">
        <v>10</v>
      </c>
      <c r="AB329" s="31" t="s">
        <v>10</v>
      </c>
      <c r="AC329" s="31">
        <v>1</v>
      </c>
      <c r="AD329" s="40" t="s">
        <v>6391</v>
      </c>
      <c r="AE329" s="40" t="s">
        <v>6385</v>
      </c>
      <c r="AF329" s="40" t="s">
        <v>6372</v>
      </c>
      <c r="AG329" s="744">
        <v>44231</v>
      </c>
      <c r="AH329" s="40"/>
      <c r="AI329" s="744">
        <v>44326</v>
      </c>
      <c r="AJ329" s="652" t="s">
        <v>37</v>
      </c>
    </row>
    <row r="330" spans="1:36" ht="39.75" thickBot="1" x14ac:dyDescent="0.3">
      <c r="A330" s="488"/>
      <c r="B330" s="131"/>
      <c r="C330" s="75"/>
      <c r="D330" s="568"/>
      <c r="E330" s="568"/>
      <c r="F330" s="118"/>
      <c r="G330" s="118"/>
      <c r="H330" s="75"/>
      <c r="I330" s="118"/>
      <c r="J330" s="121"/>
      <c r="K330" s="192"/>
      <c r="L330" s="79"/>
      <c r="M330" s="916"/>
      <c r="N330" s="916"/>
      <c r="O330" s="78"/>
      <c r="P330" s="78"/>
      <c r="Q330" s="79"/>
      <c r="R330" s="80"/>
      <c r="S330" s="657" t="s">
        <v>91</v>
      </c>
      <c r="T330" s="335" t="s">
        <v>6386</v>
      </c>
      <c r="U330" s="25">
        <v>32300</v>
      </c>
      <c r="V330" s="25">
        <v>30100</v>
      </c>
      <c r="W330" s="25">
        <v>34400</v>
      </c>
      <c r="X330" s="25"/>
      <c r="Y330" s="25"/>
      <c r="Z330" s="25"/>
      <c r="AA330" s="25" t="s">
        <v>85</v>
      </c>
      <c r="AB330" s="25" t="s">
        <v>10</v>
      </c>
      <c r="AC330" s="25">
        <v>3</v>
      </c>
      <c r="AD330" s="52" t="s">
        <v>6387</v>
      </c>
      <c r="AE330" s="52" t="s">
        <v>6385</v>
      </c>
      <c r="AF330" s="52" t="s">
        <v>6372</v>
      </c>
      <c r="AG330" s="745">
        <v>44231</v>
      </c>
      <c r="AH330" s="52"/>
      <c r="AI330" s="745">
        <v>44326</v>
      </c>
      <c r="AJ330" s="653" t="s">
        <v>37</v>
      </c>
    </row>
    <row r="331" spans="1:36" x14ac:dyDescent="0.25">
      <c r="A331" s="488"/>
      <c r="B331" s="131"/>
      <c r="C331" s="75"/>
      <c r="D331" s="568"/>
      <c r="E331" s="568"/>
      <c r="F331" s="118"/>
      <c r="G331" s="118"/>
      <c r="H331" s="75"/>
      <c r="I331" s="118"/>
      <c r="J331" s="121"/>
      <c r="K331" s="188">
        <v>4003</v>
      </c>
      <c r="L331" s="547" t="s">
        <v>6388</v>
      </c>
      <c r="M331" s="926">
        <v>1536994.1741200001</v>
      </c>
      <c r="N331" s="926">
        <v>5172921.6876800004</v>
      </c>
      <c r="O331" s="407" t="s">
        <v>41</v>
      </c>
      <c r="P331" s="407">
        <v>2</v>
      </c>
      <c r="Q331" s="547" t="s">
        <v>2156</v>
      </c>
      <c r="R331" s="77" t="s">
        <v>2156</v>
      </c>
      <c r="S331" s="654" t="s">
        <v>47</v>
      </c>
      <c r="T331" s="337" t="s">
        <v>6384</v>
      </c>
      <c r="U331" s="2">
        <f>1950-2010</f>
        <v>-60</v>
      </c>
      <c r="X331" s="2">
        <f>1950-2010</f>
        <v>-60</v>
      </c>
      <c r="AA331" s="2" t="s">
        <v>10</v>
      </c>
      <c r="AB331" s="2" t="s">
        <v>10</v>
      </c>
      <c r="AC331" s="2">
        <v>1</v>
      </c>
      <c r="AD331" s="40" t="s">
        <v>6391</v>
      </c>
      <c r="AE331" s="3" t="s">
        <v>6385</v>
      </c>
      <c r="AF331" s="3" t="s">
        <v>6372</v>
      </c>
      <c r="AG331" s="747">
        <v>44231</v>
      </c>
      <c r="AI331" s="747">
        <v>44326</v>
      </c>
      <c r="AJ331" s="1107" t="s">
        <v>37</v>
      </c>
    </row>
    <row r="332" spans="1:36" ht="78" thickBot="1" x14ac:dyDescent="0.3">
      <c r="A332" s="489"/>
      <c r="B332" s="133"/>
      <c r="C332" s="78"/>
      <c r="D332" s="569"/>
      <c r="E332" s="569"/>
      <c r="F332" s="119"/>
      <c r="G332" s="119"/>
      <c r="H332" s="78"/>
      <c r="I332" s="119"/>
      <c r="J332" s="429"/>
      <c r="K332" s="192"/>
      <c r="L332" s="79"/>
      <c r="M332" s="916"/>
      <c r="N332" s="916"/>
      <c r="O332" s="78"/>
      <c r="P332" s="78"/>
      <c r="Q332" s="79"/>
      <c r="R332" s="80"/>
      <c r="S332" s="655" t="s">
        <v>91</v>
      </c>
      <c r="T332" s="335" t="s">
        <v>6389</v>
      </c>
      <c r="U332" s="25">
        <v>30000</v>
      </c>
      <c r="V332" s="25">
        <v>26200</v>
      </c>
      <c r="W332" s="25">
        <v>35000</v>
      </c>
      <c r="X332" s="25">
        <v>20000</v>
      </c>
      <c r="Y332" s="25">
        <v>20100</v>
      </c>
      <c r="Z332" s="25">
        <v>23100</v>
      </c>
      <c r="AA332" s="25" t="s">
        <v>16</v>
      </c>
      <c r="AB332" s="25" t="s">
        <v>10</v>
      </c>
      <c r="AC332" s="25">
        <v>2</v>
      </c>
      <c r="AD332" s="52" t="s">
        <v>6390</v>
      </c>
      <c r="AE332" s="52" t="s">
        <v>6385</v>
      </c>
      <c r="AF332" s="52" t="s">
        <v>6372</v>
      </c>
      <c r="AG332" s="745">
        <v>44231</v>
      </c>
      <c r="AH332" s="52"/>
      <c r="AI332" s="745">
        <v>44326</v>
      </c>
      <c r="AJ332" s="653" t="s">
        <v>37</v>
      </c>
    </row>
    <row r="333" spans="1:36" ht="39" x14ac:dyDescent="0.25">
      <c r="A333" s="341" t="s">
        <v>641</v>
      </c>
      <c r="B333" s="181" t="s">
        <v>6807</v>
      </c>
      <c r="C333" s="125">
        <v>547</v>
      </c>
      <c r="D333" s="585" t="s">
        <v>53</v>
      </c>
      <c r="E333" s="585"/>
      <c r="F333" s="126"/>
      <c r="G333" s="126"/>
      <c r="H333" s="125"/>
      <c r="I333" s="126"/>
      <c r="J333" s="247"/>
      <c r="K333" s="189">
        <v>601</v>
      </c>
      <c r="L333" s="355" t="s">
        <v>3881</v>
      </c>
      <c r="M333" s="911">
        <v>1633398.2279999999</v>
      </c>
      <c r="N333" s="911">
        <v>5306487.3547</v>
      </c>
      <c r="O333" s="125" t="s">
        <v>41</v>
      </c>
      <c r="P333" s="125">
        <v>5</v>
      </c>
      <c r="Q333" s="355" t="s">
        <v>2156</v>
      </c>
      <c r="R333" s="134" t="s">
        <v>2156</v>
      </c>
      <c r="S333" s="38" t="s">
        <v>47</v>
      </c>
      <c r="T333" s="39" t="s">
        <v>3882</v>
      </c>
      <c r="U333" s="31">
        <f>1950-1722</f>
        <v>228</v>
      </c>
      <c r="V333" s="31"/>
      <c r="W333" s="31"/>
      <c r="X333" s="31">
        <f>1950-1840</f>
        <v>110</v>
      </c>
      <c r="Y333" s="31"/>
      <c r="Z333" s="31"/>
      <c r="AA333" s="31" t="s">
        <v>10</v>
      </c>
      <c r="AB333" s="31" t="s">
        <v>10</v>
      </c>
      <c r="AC333" s="31">
        <v>1</v>
      </c>
      <c r="AD333" s="40" t="s">
        <v>3894</v>
      </c>
      <c r="AE333" s="40" t="s">
        <v>3888</v>
      </c>
      <c r="AF333" s="40" t="s">
        <v>37</v>
      </c>
      <c r="AG333" s="744">
        <v>44166</v>
      </c>
      <c r="AH333" s="40"/>
      <c r="AI333" s="31"/>
      <c r="AJ333" s="652"/>
    </row>
    <row r="334" spans="1:36" ht="39" x14ac:dyDescent="0.25">
      <c r="A334" s="339"/>
      <c r="B334" s="116"/>
      <c r="C334" s="95"/>
      <c r="D334" s="567"/>
      <c r="E334" s="567"/>
      <c r="F334" s="108"/>
      <c r="G334" s="108"/>
      <c r="H334" s="95"/>
      <c r="I334" s="108"/>
      <c r="J334" s="122"/>
      <c r="K334" s="191"/>
      <c r="L334" s="359"/>
      <c r="M334" s="913"/>
      <c r="N334" s="913"/>
      <c r="O334" s="95"/>
      <c r="P334" s="95"/>
      <c r="Q334" s="359"/>
      <c r="R334" s="98"/>
      <c r="S334" s="42" t="s">
        <v>91</v>
      </c>
      <c r="T334" s="43" t="s">
        <v>3883</v>
      </c>
      <c r="U334" s="24">
        <f>1950-1558</f>
        <v>392</v>
      </c>
      <c r="V334" s="24"/>
      <c r="W334" s="24"/>
      <c r="X334" s="24">
        <f>1950-1724</f>
        <v>226</v>
      </c>
      <c r="Y334" s="24"/>
      <c r="Z334" s="24"/>
      <c r="AA334" s="24" t="s">
        <v>10</v>
      </c>
      <c r="AB334" s="24" t="s">
        <v>10</v>
      </c>
      <c r="AC334" s="24">
        <v>1</v>
      </c>
      <c r="AD334" s="46" t="s">
        <v>3887</v>
      </c>
      <c r="AE334" s="46" t="s">
        <v>3888</v>
      </c>
      <c r="AF334" s="46" t="s">
        <v>37</v>
      </c>
      <c r="AG334" s="746">
        <v>44166</v>
      </c>
      <c r="AH334" s="46"/>
      <c r="AI334" s="24"/>
      <c r="AJ334" s="1107"/>
    </row>
    <row r="335" spans="1:36" ht="39" x14ac:dyDescent="0.25">
      <c r="A335" s="339"/>
      <c r="B335" s="116"/>
      <c r="C335" s="95"/>
      <c r="D335" s="567"/>
      <c r="E335" s="567"/>
      <c r="F335" s="108"/>
      <c r="G335" s="108"/>
      <c r="H335" s="95"/>
      <c r="I335" s="108"/>
      <c r="J335" s="122"/>
      <c r="K335" s="191"/>
      <c r="L335" s="359"/>
      <c r="M335" s="913"/>
      <c r="N335" s="913"/>
      <c r="O335" s="95"/>
      <c r="P335" s="95"/>
      <c r="Q335" s="359"/>
      <c r="R335" s="98"/>
      <c r="S335" s="42" t="s">
        <v>92</v>
      </c>
      <c r="T335" s="43" t="s">
        <v>3884</v>
      </c>
      <c r="U335" s="24">
        <f>1950-1495</f>
        <v>455</v>
      </c>
      <c r="V335" s="24"/>
      <c r="W335" s="24"/>
      <c r="X335" s="24">
        <f>1950-1610</f>
        <v>340</v>
      </c>
      <c r="Y335" s="24"/>
      <c r="Z335" s="24"/>
      <c r="AA335" s="24" t="s">
        <v>10</v>
      </c>
      <c r="AB335" s="24" t="s">
        <v>10</v>
      </c>
      <c r="AC335" s="24">
        <v>1</v>
      </c>
      <c r="AD335" s="46" t="s">
        <v>3887</v>
      </c>
      <c r="AE335" s="46" t="s">
        <v>3888</v>
      </c>
      <c r="AF335" s="46" t="s">
        <v>37</v>
      </c>
      <c r="AG335" s="746">
        <v>44166</v>
      </c>
      <c r="AH335" s="46"/>
      <c r="AI335" s="24"/>
      <c r="AJ335" s="1107"/>
    </row>
    <row r="336" spans="1:36" ht="39" x14ac:dyDescent="0.25">
      <c r="A336" s="339"/>
      <c r="B336" s="116"/>
      <c r="C336" s="95"/>
      <c r="D336" s="567"/>
      <c r="E336" s="567"/>
      <c r="F336" s="108"/>
      <c r="G336" s="108"/>
      <c r="H336" s="95"/>
      <c r="I336" s="108"/>
      <c r="J336" s="122"/>
      <c r="K336" s="191"/>
      <c r="L336" s="359"/>
      <c r="M336" s="913"/>
      <c r="N336" s="913"/>
      <c r="O336" s="95"/>
      <c r="P336" s="95"/>
      <c r="Q336" s="359"/>
      <c r="R336" s="98"/>
      <c r="S336" s="42" t="s">
        <v>99</v>
      </c>
      <c r="T336" s="43" t="s">
        <v>3885</v>
      </c>
      <c r="U336" s="24">
        <f>1950-1288</f>
        <v>662</v>
      </c>
      <c r="V336" s="24"/>
      <c r="W336" s="24"/>
      <c r="X336" s="24">
        <f>1950-1532</f>
        <v>418</v>
      </c>
      <c r="Y336" s="24"/>
      <c r="Z336" s="24"/>
      <c r="AA336" s="24" t="s">
        <v>10</v>
      </c>
      <c r="AB336" s="24" t="s">
        <v>10</v>
      </c>
      <c r="AC336" s="24">
        <v>1</v>
      </c>
      <c r="AD336" s="46" t="s">
        <v>3887</v>
      </c>
      <c r="AE336" s="46" t="s">
        <v>3888</v>
      </c>
      <c r="AF336" s="46" t="s">
        <v>37</v>
      </c>
      <c r="AG336" s="746">
        <v>44166</v>
      </c>
      <c r="AH336" s="46"/>
      <c r="AI336" s="24"/>
      <c r="AJ336" s="1107"/>
    </row>
    <row r="337" spans="1:36" ht="78" thickBot="1" x14ac:dyDescent="0.3">
      <c r="A337" s="339"/>
      <c r="B337" s="116"/>
      <c r="C337" s="95"/>
      <c r="D337" s="567"/>
      <c r="E337" s="567"/>
      <c r="F337" s="108"/>
      <c r="G337" s="108"/>
      <c r="H337" s="95"/>
      <c r="I337" s="108"/>
      <c r="J337" s="122"/>
      <c r="K337" s="190"/>
      <c r="L337" s="357"/>
      <c r="M337" s="912"/>
      <c r="N337" s="912"/>
      <c r="O337" s="96"/>
      <c r="P337" s="96"/>
      <c r="Q337" s="357"/>
      <c r="R337" s="100"/>
      <c r="S337" s="48" t="s">
        <v>100</v>
      </c>
      <c r="T337" s="49" t="s">
        <v>3886</v>
      </c>
      <c r="U337" s="25">
        <f>1950+36</f>
        <v>1986</v>
      </c>
      <c r="V337" s="25"/>
      <c r="W337" s="25"/>
      <c r="X337" s="25">
        <f>1950-1277</f>
        <v>673</v>
      </c>
      <c r="Y337" s="25"/>
      <c r="Z337" s="25"/>
      <c r="AA337" s="25" t="s">
        <v>10</v>
      </c>
      <c r="AB337" s="25" t="s">
        <v>10</v>
      </c>
      <c r="AC337" s="25">
        <v>1</v>
      </c>
      <c r="AD337" s="52" t="s">
        <v>3889</v>
      </c>
      <c r="AE337" s="52" t="s">
        <v>3888</v>
      </c>
      <c r="AF337" s="52" t="s">
        <v>37</v>
      </c>
      <c r="AG337" s="745">
        <v>44166</v>
      </c>
      <c r="AH337" s="52"/>
      <c r="AI337" s="25"/>
      <c r="AJ337" s="653"/>
    </row>
    <row r="338" spans="1:36" ht="51.75" x14ac:dyDescent="0.25">
      <c r="A338" s="339"/>
      <c r="B338" s="116"/>
      <c r="C338" s="95"/>
      <c r="D338" s="567"/>
      <c r="E338" s="567"/>
      <c r="F338" s="108"/>
      <c r="G338" s="108"/>
      <c r="H338" s="95"/>
      <c r="I338" s="108"/>
      <c r="J338" s="122"/>
      <c r="K338" s="189">
        <v>602</v>
      </c>
      <c r="L338" s="355" t="s">
        <v>3890</v>
      </c>
      <c r="M338" s="911">
        <v>1632007.1862999999</v>
      </c>
      <c r="N338" s="911">
        <v>5306122.6584999999</v>
      </c>
      <c r="O338" s="125" t="s">
        <v>41</v>
      </c>
      <c r="P338" s="125">
        <v>4</v>
      </c>
      <c r="Q338" s="355" t="s">
        <v>2156</v>
      </c>
      <c r="R338" s="134" t="s">
        <v>2156</v>
      </c>
      <c r="S338" s="38" t="s">
        <v>47</v>
      </c>
      <c r="T338" s="39" t="s">
        <v>3882</v>
      </c>
      <c r="U338" s="31">
        <f>1950-1722</f>
        <v>228</v>
      </c>
      <c r="V338" s="31"/>
      <c r="W338" s="31"/>
      <c r="X338" s="31">
        <f>1950-1840</f>
        <v>110</v>
      </c>
      <c r="Y338" s="31"/>
      <c r="Z338" s="31"/>
      <c r="AA338" s="31" t="s">
        <v>10</v>
      </c>
      <c r="AB338" s="31" t="s">
        <v>16</v>
      </c>
      <c r="AC338" s="31">
        <v>2</v>
      </c>
      <c r="AD338" s="40" t="s">
        <v>3895</v>
      </c>
      <c r="AE338" s="40" t="s">
        <v>3888</v>
      </c>
      <c r="AF338" s="40" t="s">
        <v>37</v>
      </c>
      <c r="AG338" s="744">
        <v>44166</v>
      </c>
      <c r="AH338" s="40"/>
      <c r="AI338" s="31"/>
      <c r="AJ338" s="652"/>
    </row>
    <row r="339" spans="1:36" ht="51.75" x14ac:dyDescent="0.25">
      <c r="A339" s="339"/>
      <c r="B339" s="116"/>
      <c r="C339" s="95"/>
      <c r="D339" s="567"/>
      <c r="E339" s="567"/>
      <c r="F339" s="108"/>
      <c r="G339" s="108"/>
      <c r="H339" s="95"/>
      <c r="I339" s="108"/>
      <c r="J339" s="122"/>
      <c r="K339" s="191"/>
      <c r="L339" s="359"/>
      <c r="M339" s="913"/>
      <c r="N339" s="913"/>
      <c r="O339" s="95"/>
      <c r="P339" s="95"/>
      <c r="Q339" s="359"/>
      <c r="R339" s="98"/>
      <c r="S339" s="42" t="s">
        <v>91</v>
      </c>
      <c r="T339" s="43" t="s">
        <v>3891</v>
      </c>
      <c r="U339" s="24">
        <f>1950-1669</f>
        <v>281</v>
      </c>
      <c r="V339" s="24"/>
      <c r="W339" s="24"/>
      <c r="X339" s="24">
        <f>1950-1806</f>
        <v>144</v>
      </c>
      <c r="Y339" s="24"/>
      <c r="Z339" s="24"/>
      <c r="AA339" s="24" t="s">
        <v>10</v>
      </c>
      <c r="AB339" s="24" t="s">
        <v>16</v>
      </c>
      <c r="AC339" s="24">
        <v>2</v>
      </c>
      <c r="AD339" s="46" t="s">
        <v>3896</v>
      </c>
      <c r="AE339" s="46" t="s">
        <v>3888</v>
      </c>
      <c r="AF339" s="46" t="s">
        <v>37</v>
      </c>
      <c r="AG339" s="746">
        <v>44166</v>
      </c>
      <c r="AH339" s="46"/>
      <c r="AI339" s="24"/>
      <c r="AJ339" s="1107"/>
    </row>
    <row r="340" spans="1:36" ht="51.75" x14ac:dyDescent="0.25">
      <c r="A340" s="339"/>
      <c r="B340" s="116"/>
      <c r="C340" s="95"/>
      <c r="D340" s="567"/>
      <c r="E340" s="567"/>
      <c r="F340" s="108"/>
      <c r="G340" s="108"/>
      <c r="H340" s="95"/>
      <c r="I340" s="108"/>
      <c r="J340" s="122"/>
      <c r="K340" s="191"/>
      <c r="L340" s="359"/>
      <c r="M340" s="913"/>
      <c r="N340" s="913"/>
      <c r="O340" s="95"/>
      <c r="P340" s="95"/>
      <c r="Q340" s="359"/>
      <c r="R340" s="98"/>
      <c r="S340" s="42" t="s">
        <v>92</v>
      </c>
      <c r="T340" s="43" t="s">
        <v>3892</v>
      </c>
      <c r="U340" s="24">
        <f>1950-1415</f>
        <v>535</v>
      </c>
      <c r="V340" s="24"/>
      <c r="W340" s="24"/>
      <c r="X340" s="24">
        <f>1950-1711</f>
        <v>239</v>
      </c>
      <c r="Y340" s="24"/>
      <c r="Z340" s="24"/>
      <c r="AA340" s="24" t="s">
        <v>10</v>
      </c>
      <c r="AB340" s="24" t="s">
        <v>16</v>
      </c>
      <c r="AC340" s="24">
        <v>2</v>
      </c>
      <c r="AD340" s="46" t="s">
        <v>3904</v>
      </c>
      <c r="AE340" s="46" t="s">
        <v>3888</v>
      </c>
      <c r="AF340" s="46" t="s">
        <v>37</v>
      </c>
      <c r="AG340" s="746">
        <v>44166</v>
      </c>
      <c r="AH340" s="46"/>
      <c r="AI340" s="24"/>
      <c r="AJ340" s="1107"/>
    </row>
    <row r="341" spans="1:36" ht="52.5" thickBot="1" x14ac:dyDescent="0.3">
      <c r="A341" s="339"/>
      <c r="B341" s="116"/>
      <c r="C341" s="95"/>
      <c r="D341" s="567"/>
      <c r="E341" s="567"/>
      <c r="F341" s="108"/>
      <c r="G341" s="108"/>
      <c r="H341" s="95"/>
      <c r="I341" s="108"/>
      <c r="J341" s="122"/>
      <c r="K341" s="190"/>
      <c r="L341" s="357"/>
      <c r="M341" s="912"/>
      <c r="N341" s="912"/>
      <c r="O341" s="96"/>
      <c r="P341" s="96"/>
      <c r="Q341" s="357"/>
      <c r="R341" s="100"/>
      <c r="S341" s="48" t="s">
        <v>99</v>
      </c>
      <c r="T341" s="49" t="s">
        <v>3893</v>
      </c>
      <c r="U341" s="25">
        <f>1950-1440</f>
        <v>510</v>
      </c>
      <c r="V341" s="25"/>
      <c r="W341" s="25"/>
      <c r="X341" s="25"/>
      <c r="Y341" s="25"/>
      <c r="Z341" s="25"/>
      <c r="AA341" s="24" t="s">
        <v>16</v>
      </c>
      <c r="AB341" s="24" t="s">
        <v>16</v>
      </c>
      <c r="AC341" s="24">
        <v>2</v>
      </c>
      <c r="AD341" s="52" t="s">
        <v>3897</v>
      </c>
      <c r="AE341" s="52" t="s">
        <v>3888</v>
      </c>
      <c r="AF341" s="52" t="s">
        <v>37</v>
      </c>
      <c r="AG341" s="745">
        <v>44166</v>
      </c>
      <c r="AH341" s="52"/>
      <c r="AI341" s="25"/>
      <c r="AJ341" s="653"/>
    </row>
    <row r="342" spans="1:36" ht="39" x14ac:dyDescent="0.25">
      <c r="A342" s="339"/>
      <c r="B342" s="116"/>
      <c r="C342" s="95"/>
      <c r="D342" s="567"/>
      <c r="E342" s="567"/>
      <c r="F342" s="108"/>
      <c r="G342" s="108"/>
      <c r="H342" s="95"/>
      <c r="I342" s="108"/>
      <c r="J342" s="122"/>
      <c r="K342" s="189">
        <v>603</v>
      </c>
      <c r="L342" s="355" t="s">
        <v>3898</v>
      </c>
      <c r="M342" s="911">
        <v>1632002.1359999999</v>
      </c>
      <c r="N342" s="911">
        <v>5306136.3218</v>
      </c>
      <c r="O342" s="125" t="s">
        <v>41</v>
      </c>
      <c r="P342" s="125">
        <v>3</v>
      </c>
      <c r="Q342" s="355" t="s">
        <v>2156</v>
      </c>
      <c r="R342" s="134" t="s">
        <v>2156</v>
      </c>
      <c r="S342" s="38" t="s">
        <v>47</v>
      </c>
      <c r="T342" s="39" t="s">
        <v>3899</v>
      </c>
      <c r="U342" s="31">
        <f>1950-1728</f>
        <v>222</v>
      </c>
      <c r="V342" s="31"/>
      <c r="W342" s="31"/>
      <c r="X342" s="31">
        <f>1950-1840</f>
        <v>110</v>
      </c>
      <c r="Y342" s="31"/>
      <c r="Z342" s="31"/>
      <c r="AA342" s="31" t="s">
        <v>10</v>
      </c>
      <c r="AB342" s="31" t="s">
        <v>16</v>
      </c>
      <c r="AC342" s="31">
        <v>2</v>
      </c>
      <c r="AD342" s="40" t="s">
        <v>3902</v>
      </c>
      <c r="AE342" s="40" t="s">
        <v>3888</v>
      </c>
      <c r="AF342" s="40" t="s">
        <v>37</v>
      </c>
      <c r="AG342" s="744">
        <v>44166</v>
      </c>
      <c r="AH342" s="40"/>
      <c r="AI342" s="31"/>
      <c r="AJ342" s="652"/>
    </row>
    <row r="343" spans="1:36" ht="39" x14ac:dyDescent="0.25">
      <c r="A343" s="339"/>
      <c r="B343" s="116"/>
      <c r="C343" s="95"/>
      <c r="D343" s="567"/>
      <c r="E343" s="567"/>
      <c r="F343" s="108"/>
      <c r="G343" s="108"/>
      <c r="H343" s="95"/>
      <c r="I343" s="108"/>
      <c r="J343" s="122"/>
      <c r="K343" s="191"/>
      <c r="L343" s="359"/>
      <c r="M343" s="913"/>
      <c r="N343" s="913"/>
      <c r="O343" s="95"/>
      <c r="P343" s="95"/>
      <c r="Q343" s="359"/>
      <c r="R343" s="98"/>
      <c r="S343" s="42" t="s">
        <v>91</v>
      </c>
      <c r="T343" s="43" t="s">
        <v>3900</v>
      </c>
      <c r="U343" s="24">
        <f>1950-1668</f>
        <v>282</v>
      </c>
      <c r="V343" s="24"/>
      <c r="W343" s="24"/>
      <c r="X343" s="24">
        <f>1950-1806</f>
        <v>144</v>
      </c>
      <c r="Y343" s="24"/>
      <c r="Z343" s="24"/>
      <c r="AA343" s="24" t="s">
        <v>10</v>
      </c>
      <c r="AB343" s="24" t="s">
        <v>16</v>
      </c>
      <c r="AC343" s="24">
        <v>2</v>
      </c>
      <c r="AD343" s="46" t="s">
        <v>3903</v>
      </c>
      <c r="AE343" s="46" t="s">
        <v>3888</v>
      </c>
      <c r="AF343" s="46" t="s">
        <v>37</v>
      </c>
      <c r="AG343" s="746">
        <v>44166</v>
      </c>
      <c r="AH343" s="46"/>
      <c r="AI343" s="24"/>
      <c r="AJ343" s="1107"/>
    </row>
    <row r="344" spans="1:36" ht="52.5" thickBot="1" x14ac:dyDescent="0.3">
      <c r="A344" s="339"/>
      <c r="B344" s="116"/>
      <c r="C344" s="95"/>
      <c r="D344" s="567"/>
      <c r="E344" s="567"/>
      <c r="F344" s="108"/>
      <c r="G344" s="108"/>
      <c r="H344" s="95"/>
      <c r="I344" s="108"/>
      <c r="J344" s="122"/>
      <c r="K344" s="190"/>
      <c r="L344" s="357"/>
      <c r="M344" s="912"/>
      <c r="N344" s="912"/>
      <c r="O344" s="96"/>
      <c r="P344" s="96"/>
      <c r="Q344" s="357"/>
      <c r="R344" s="100"/>
      <c r="S344" s="48" t="s">
        <v>92</v>
      </c>
      <c r="T344" s="49" t="s">
        <v>3901</v>
      </c>
      <c r="U344" s="25">
        <f>1950-1225</f>
        <v>725</v>
      </c>
      <c r="V344" s="25"/>
      <c r="W344" s="25"/>
      <c r="X344" s="25">
        <f>1950-1685</f>
        <v>265</v>
      </c>
      <c r="Y344" s="25"/>
      <c r="Z344" s="25"/>
      <c r="AA344" s="25" t="s">
        <v>10</v>
      </c>
      <c r="AB344" s="25" t="s">
        <v>16</v>
      </c>
      <c r="AC344" s="25">
        <v>2</v>
      </c>
      <c r="AD344" s="52" t="s">
        <v>3904</v>
      </c>
      <c r="AE344" s="52" t="s">
        <v>3888</v>
      </c>
      <c r="AF344" s="52" t="s">
        <v>37</v>
      </c>
      <c r="AG344" s="745">
        <v>44166</v>
      </c>
      <c r="AH344" s="52"/>
      <c r="AI344" s="25"/>
      <c r="AJ344" s="653"/>
    </row>
    <row r="345" spans="1:36" ht="26.25" x14ac:dyDescent="0.25">
      <c r="A345" s="339"/>
      <c r="B345" s="116"/>
      <c r="C345" s="95"/>
      <c r="D345" s="567"/>
      <c r="E345" s="567"/>
      <c r="F345" s="108"/>
      <c r="G345" s="108"/>
      <c r="H345" s="95"/>
      <c r="I345" s="108"/>
      <c r="J345" s="122"/>
      <c r="K345" s="189" t="s">
        <v>2156</v>
      </c>
      <c r="L345" s="355" t="s">
        <v>3905</v>
      </c>
      <c r="M345" s="911" t="s">
        <v>2156</v>
      </c>
      <c r="N345" s="911" t="s">
        <v>2156</v>
      </c>
      <c r="O345" s="125" t="s">
        <v>41</v>
      </c>
      <c r="P345" s="125">
        <v>5</v>
      </c>
      <c r="Q345" s="355" t="s">
        <v>2156</v>
      </c>
      <c r="R345" s="134" t="s">
        <v>2156</v>
      </c>
      <c r="S345" s="38" t="s">
        <v>47</v>
      </c>
      <c r="T345" s="39" t="s">
        <v>3906</v>
      </c>
      <c r="U345" s="31">
        <f>1950-1731</f>
        <v>219</v>
      </c>
      <c r="V345" s="31"/>
      <c r="W345" s="31"/>
      <c r="X345" s="31">
        <f>1950-1840</f>
        <v>110</v>
      </c>
      <c r="Y345" s="31"/>
      <c r="Z345" s="31"/>
      <c r="AA345" s="31" t="s">
        <v>10</v>
      </c>
      <c r="AB345" s="31" t="s">
        <v>10</v>
      </c>
      <c r="AC345" s="31">
        <v>1</v>
      </c>
      <c r="AD345" s="40" t="s">
        <v>3911</v>
      </c>
      <c r="AE345" s="40" t="s">
        <v>3888</v>
      </c>
      <c r="AF345" s="40" t="s">
        <v>37</v>
      </c>
      <c r="AG345" s="744">
        <v>44166</v>
      </c>
      <c r="AH345" s="40"/>
      <c r="AI345" s="31"/>
      <c r="AJ345" s="652"/>
    </row>
    <row r="346" spans="1:36" ht="26.25" x14ac:dyDescent="0.25">
      <c r="A346" s="339"/>
      <c r="B346" s="116"/>
      <c r="C346" s="95"/>
      <c r="D346" s="567"/>
      <c r="E346" s="567"/>
      <c r="F346" s="108"/>
      <c r="G346" s="108"/>
      <c r="H346" s="95"/>
      <c r="I346" s="108"/>
      <c r="J346" s="122"/>
      <c r="K346" s="191"/>
      <c r="L346" s="359"/>
      <c r="M346" s="913"/>
      <c r="N346" s="913"/>
      <c r="O346" s="95"/>
      <c r="P346" s="95"/>
      <c r="Q346" s="359"/>
      <c r="R346" s="98"/>
      <c r="S346" s="42" t="s">
        <v>91</v>
      </c>
      <c r="T346" s="43" t="s">
        <v>3907</v>
      </c>
      <c r="U346" s="24">
        <f>1950-1657</f>
        <v>293</v>
      </c>
      <c r="V346" s="24"/>
      <c r="W346" s="24"/>
      <c r="X346" s="24">
        <f>1950-1797</f>
        <v>153</v>
      </c>
      <c r="Y346" s="24"/>
      <c r="Z346" s="24"/>
      <c r="AA346" s="24" t="s">
        <v>10</v>
      </c>
      <c r="AB346" s="24" t="s">
        <v>10</v>
      </c>
      <c r="AC346" s="24">
        <v>1</v>
      </c>
      <c r="AD346" s="46" t="s">
        <v>3911</v>
      </c>
      <c r="AE346" s="46" t="s">
        <v>3888</v>
      </c>
      <c r="AF346" s="46" t="s">
        <v>37</v>
      </c>
      <c r="AG346" s="746">
        <v>44166</v>
      </c>
      <c r="AH346" s="46"/>
      <c r="AI346" s="24"/>
      <c r="AJ346" s="1107"/>
    </row>
    <row r="347" spans="1:36" ht="26.25" x14ac:dyDescent="0.25">
      <c r="A347" s="339"/>
      <c r="B347" s="116"/>
      <c r="C347" s="95"/>
      <c r="D347" s="567"/>
      <c r="E347" s="567"/>
      <c r="F347" s="108"/>
      <c r="G347" s="108"/>
      <c r="H347" s="95"/>
      <c r="I347" s="108"/>
      <c r="J347" s="122"/>
      <c r="K347" s="191"/>
      <c r="L347" s="359"/>
      <c r="M347" s="913"/>
      <c r="N347" s="913"/>
      <c r="O347" s="95"/>
      <c r="P347" s="95"/>
      <c r="Q347" s="359"/>
      <c r="R347" s="98"/>
      <c r="S347" s="42" t="s">
        <v>92</v>
      </c>
      <c r="T347" s="43" t="s">
        <v>3908</v>
      </c>
      <c r="U347" s="24">
        <f>1950-1495</f>
        <v>455</v>
      </c>
      <c r="V347" s="24"/>
      <c r="W347" s="24"/>
      <c r="X347" s="24">
        <f>1950-1611</f>
        <v>339</v>
      </c>
      <c r="Y347" s="24"/>
      <c r="Z347" s="24"/>
      <c r="AA347" s="24" t="s">
        <v>10</v>
      </c>
      <c r="AB347" s="24" t="s">
        <v>10</v>
      </c>
      <c r="AC347" s="24">
        <v>1</v>
      </c>
      <c r="AD347" s="46" t="s">
        <v>3911</v>
      </c>
      <c r="AE347" s="46" t="s">
        <v>3888</v>
      </c>
      <c r="AF347" s="46" t="s">
        <v>37</v>
      </c>
      <c r="AG347" s="746">
        <v>44166</v>
      </c>
      <c r="AH347" s="46"/>
      <c r="AI347" s="24"/>
      <c r="AJ347" s="1107"/>
    </row>
    <row r="348" spans="1:36" ht="26.25" x14ac:dyDescent="0.25">
      <c r="A348" s="339"/>
      <c r="B348" s="116"/>
      <c r="C348" s="95"/>
      <c r="D348" s="567"/>
      <c r="E348" s="567"/>
      <c r="F348" s="108"/>
      <c r="G348" s="108"/>
      <c r="H348" s="95"/>
      <c r="I348" s="108"/>
      <c r="J348" s="122"/>
      <c r="K348" s="191"/>
      <c r="L348" s="359"/>
      <c r="M348" s="913"/>
      <c r="N348" s="913"/>
      <c r="O348" s="95"/>
      <c r="P348" s="95"/>
      <c r="Q348" s="359"/>
      <c r="R348" s="98"/>
      <c r="S348" s="42" t="s">
        <v>99</v>
      </c>
      <c r="T348" s="43" t="s">
        <v>3909</v>
      </c>
      <c r="U348" s="24">
        <f>1950-1290</f>
        <v>660</v>
      </c>
      <c r="V348" s="24"/>
      <c r="W348" s="24"/>
      <c r="X348" s="24">
        <f>1950-1420</f>
        <v>530</v>
      </c>
      <c r="Y348" s="24"/>
      <c r="Z348" s="24"/>
      <c r="AA348" s="24" t="s">
        <v>10</v>
      </c>
      <c r="AB348" s="24" t="s">
        <v>10</v>
      </c>
      <c r="AC348" s="24">
        <v>1</v>
      </c>
      <c r="AD348" s="46" t="s">
        <v>3911</v>
      </c>
      <c r="AE348" s="46" t="s">
        <v>3888</v>
      </c>
      <c r="AF348" s="46" t="s">
        <v>37</v>
      </c>
      <c r="AG348" s="746">
        <v>44166</v>
      </c>
      <c r="AH348" s="46"/>
      <c r="AI348" s="24"/>
      <c r="AJ348" s="1107"/>
    </row>
    <row r="349" spans="1:36" ht="27" thickBot="1" x14ac:dyDescent="0.3">
      <c r="A349" s="339"/>
      <c r="B349" s="116"/>
      <c r="C349" s="95"/>
      <c r="D349" s="567"/>
      <c r="E349" s="567"/>
      <c r="F349" s="108"/>
      <c r="G349" s="108"/>
      <c r="H349" s="95"/>
      <c r="I349" s="108"/>
      <c r="J349" s="122"/>
      <c r="K349" s="190"/>
      <c r="L349" s="357"/>
      <c r="M349" s="912"/>
      <c r="N349" s="912"/>
      <c r="O349" s="96"/>
      <c r="P349" s="96"/>
      <c r="Q349" s="357"/>
      <c r="R349" s="100"/>
      <c r="S349" s="48" t="s">
        <v>100</v>
      </c>
      <c r="T349" s="49" t="s">
        <v>3910</v>
      </c>
      <c r="U349" s="25">
        <f>1950+36</f>
        <v>1986</v>
      </c>
      <c r="V349" s="25"/>
      <c r="W349" s="25"/>
      <c r="X349" s="25">
        <f>1950-1275</f>
        <v>675</v>
      </c>
      <c r="Y349" s="25"/>
      <c r="Z349" s="25"/>
      <c r="AA349" s="25" t="s">
        <v>10</v>
      </c>
      <c r="AB349" s="25" t="s">
        <v>10</v>
      </c>
      <c r="AC349" s="25">
        <v>1</v>
      </c>
      <c r="AD349" s="52" t="s">
        <v>3911</v>
      </c>
      <c r="AE349" s="52" t="s">
        <v>3888</v>
      </c>
      <c r="AF349" s="52" t="s">
        <v>37</v>
      </c>
      <c r="AG349" s="745">
        <v>44166</v>
      </c>
      <c r="AH349" s="52"/>
      <c r="AI349" s="25"/>
      <c r="AJ349" s="653"/>
    </row>
    <row r="350" spans="1:36" ht="64.5" x14ac:dyDescent="0.25">
      <c r="A350" s="339"/>
      <c r="B350" s="116"/>
      <c r="C350" s="95"/>
      <c r="D350" s="567"/>
      <c r="E350" s="567"/>
      <c r="F350" s="108"/>
      <c r="G350" s="108"/>
      <c r="H350" s="95"/>
      <c r="I350" s="108"/>
      <c r="J350" s="122"/>
      <c r="K350" s="189">
        <v>631</v>
      </c>
      <c r="L350" s="355" t="s">
        <v>4038</v>
      </c>
      <c r="M350" s="911">
        <v>1632246.3574000001</v>
      </c>
      <c r="N350" s="911">
        <v>5306190.0894999998</v>
      </c>
      <c r="O350" s="125" t="s">
        <v>41</v>
      </c>
      <c r="P350" s="125" t="s">
        <v>2156</v>
      </c>
      <c r="Q350" s="355" t="s">
        <v>2156</v>
      </c>
      <c r="R350" s="134" t="s">
        <v>2156</v>
      </c>
      <c r="S350" s="38" t="s">
        <v>47</v>
      </c>
      <c r="T350" s="39" t="s">
        <v>4039</v>
      </c>
      <c r="U350" s="31">
        <f>1950-1700</f>
        <v>250</v>
      </c>
      <c r="V350" s="31"/>
      <c r="W350" s="31"/>
      <c r="X350" s="31">
        <f>1950-1840</f>
        <v>110</v>
      </c>
      <c r="Y350" s="31"/>
      <c r="Z350" s="31"/>
      <c r="AA350" s="31" t="s">
        <v>85</v>
      </c>
      <c r="AB350" s="31" t="s">
        <v>10</v>
      </c>
      <c r="AC350" s="31">
        <v>3</v>
      </c>
      <c r="AD350" s="40" t="s">
        <v>4044</v>
      </c>
      <c r="AE350" s="40" t="s">
        <v>6926</v>
      </c>
      <c r="AF350" s="40" t="s">
        <v>37</v>
      </c>
      <c r="AG350" s="744">
        <v>44176</v>
      </c>
      <c r="AH350" s="40"/>
      <c r="AI350" s="31"/>
      <c r="AJ350" s="652"/>
    </row>
    <row r="351" spans="1:36" ht="26.25" x14ac:dyDescent="0.25">
      <c r="A351" s="339"/>
      <c r="B351" s="116"/>
      <c r="C351" s="95"/>
      <c r="D351" s="567"/>
      <c r="E351" s="567"/>
      <c r="F351" s="108"/>
      <c r="G351" s="108"/>
      <c r="H351" s="95"/>
      <c r="I351" s="108"/>
      <c r="J351" s="122"/>
      <c r="K351" s="191"/>
      <c r="L351" s="359"/>
      <c r="M351" s="913"/>
      <c r="N351" s="913"/>
      <c r="O351" s="95"/>
      <c r="P351" s="95"/>
      <c r="Q351" s="359"/>
      <c r="R351" s="98"/>
      <c r="S351" s="42" t="s">
        <v>91</v>
      </c>
      <c r="T351" s="43" t="s">
        <v>4041</v>
      </c>
      <c r="U351" s="24">
        <f>1950-1295</f>
        <v>655</v>
      </c>
      <c r="V351" s="24"/>
      <c r="W351" s="24"/>
      <c r="X351" s="24"/>
      <c r="Y351" s="24"/>
      <c r="Z351" s="24"/>
      <c r="AA351" s="24" t="s">
        <v>85</v>
      </c>
      <c r="AB351" s="24" t="s">
        <v>10</v>
      </c>
      <c r="AC351" s="24">
        <v>3</v>
      </c>
      <c r="AD351" s="46" t="s">
        <v>4042</v>
      </c>
      <c r="AE351" s="46" t="s">
        <v>6926</v>
      </c>
      <c r="AF351" s="46" t="s">
        <v>37</v>
      </c>
      <c r="AG351" s="746">
        <v>44176</v>
      </c>
      <c r="AH351" s="46"/>
      <c r="AI351" s="24"/>
      <c r="AJ351" s="1107"/>
    </row>
    <row r="352" spans="1:36" ht="27" thickBot="1" x14ac:dyDescent="0.3">
      <c r="A352" s="339"/>
      <c r="B352" s="116"/>
      <c r="C352" s="95"/>
      <c r="D352" s="567"/>
      <c r="E352" s="567"/>
      <c r="F352" s="108"/>
      <c r="G352" s="108"/>
      <c r="H352" s="95"/>
      <c r="I352" s="108"/>
      <c r="J352" s="122"/>
      <c r="K352" s="190"/>
      <c r="L352" s="357"/>
      <c r="M352" s="912"/>
      <c r="N352" s="912"/>
      <c r="O352" s="96"/>
      <c r="P352" s="96"/>
      <c r="Q352" s="357"/>
      <c r="R352" s="100"/>
      <c r="S352" s="48" t="s">
        <v>92</v>
      </c>
      <c r="T352" s="49" t="s">
        <v>4040</v>
      </c>
      <c r="U352" s="25"/>
      <c r="V352" s="25"/>
      <c r="W352" s="25"/>
      <c r="X352" s="25">
        <f>1950-1220</f>
        <v>730</v>
      </c>
      <c r="Y352" s="25"/>
      <c r="Z352" s="25"/>
      <c r="AA352" s="25" t="s">
        <v>85</v>
      </c>
      <c r="AB352" s="25" t="s">
        <v>10</v>
      </c>
      <c r="AC352" s="25">
        <v>3</v>
      </c>
      <c r="AD352" s="52" t="s">
        <v>4043</v>
      </c>
      <c r="AE352" s="52" t="s">
        <v>6926</v>
      </c>
      <c r="AF352" s="52" t="s">
        <v>37</v>
      </c>
      <c r="AG352" s="745">
        <v>44176</v>
      </c>
      <c r="AH352" s="52"/>
      <c r="AI352" s="25"/>
      <c r="AJ352" s="653"/>
    </row>
    <row r="353" spans="1:36" ht="77.25" x14ac:dyDescent="0.25">
      <c r="A353" s="487" t="s">
        <v>641</v>
      </c>
      <c r="B353" s="128" t="s">
        <v>6808</v>
      </c>
      <c r="C353" s="72">
        <v>552</v>
      </c>
      <c r="D353" s="586" t="s">
        <v>53</v>
      </c>
      <c r="E353" s="586" t="s">
        <v>52</v>
      </c>
      <c r="F353" s="129"/>
      <c r="G353" s="129"/>
      <c r="H353" s="72"/>
      <c r="I353" s="129"/>
      <c r="J353" s="381"/>
      <c r="K353" s="187">
        <v>604</v>
      </c>
      <c r="L353" s="73" t="s">
        <v>3912</v>
      </c>
      <c r="M353" s="914">
        <v>1542488.1861</v>
      </c>
      <c r="N353" s="914">
        <v>5281666.0835999995</v>
      </c>
      <c r="O353" s="129" t="s">
        <v>3933</v>
      </c>
      <c r="P353" s="72">
        <v>6</v>
      </c>
      <c r="Q353" s="73" t="s">
        <v>3937</v>
      </c>
      <c r="R353" s="74" t="s">
        <v>16</v>
      </c>
      <c r="S353" s="38" t="s">
        <v>47</v>
      </c>
      <c r="T353" s="39" t="s">
        <v>3913</v>
      </c>
      <c r="U353" s="31">
        <f>1950-1843</f>
        <v>107</v>
      </c>
      <c r="V353" s="31"/>
      <c r="W353" s="31"/>
      <c r="X353" s="31">
        <f>1950-1888</f>
        <v>62</v>
      </c>
      <c r="Y353" s="31"/>
      <c r="Z353" s="31"/>
      <c r="AA353" s="31" t="s">
        <v>16</v>
      </c>
      <c r="AB353" s="31" t="s">
        <v>10</v>
      </c>
      <c r="AC353" s="31">
        <v>2</v>
      </c>
      <c r="AD353" s="40" t="s">
        <v>3920</v>
      </c>
      <c r="AE353" s="40" t="s">
        <v>3919</v>
      </c>
      <c r="AF353" s="40" t="s">
        <v>37</v>
      </c>
      <c r="AG353" s="744">
        <v>44166</v>
      </c>
      <c r="AH353" s="40"/>
      <c r="AI353" s="31"/>
      <c r="AJ353" s="652"/>
    </row>
    <row r="354" spans="1:36" ht="64.5" x14ac:dyDescent="0.25">
      <c r="A354" s="488"/>
      <c r="B354" s="131"/>
      <c r="C354" s="75"/>
      <c r="D354" s="568"/>
      <c r="E354" s="568"/>
      <c r="F354" s="118"/>
      <c r="G354" s="118"/>
      <c r="H354" s="75"/>
      <c r="I354" s="118"/>
      <c r="J354" s="121"/>
      <c r="K354" s="188"/>
      <c r="L354" s="76"/>
      <c r="M354" s="915"/>
      <c r="N354" s="915"/>
      <c r="O354" s="75"/>
      <c r="P354" s="75"/>
      <c r="Q354" s="76"/>
      <c r="R354" s="77"/>
      <c r="S354" s="42" t="s">
        <v>91</v>
      </c>
      <c r="T354" s="43" t="s">
        <v>3914</v>
      </c>
      <c r="U354" s="24">
        <f>1950-1819</f>
        <v>131</v>
      </c>
      <c r="V354" s="24"/>
      <c r="W354" s="24"/>
      <c r="X354" s="24">
        <f>1950-1848</f>
        <v>102</v>
      </c>
      <c r="Y354" s="24"/>
      <c r="Z354" s="24"/>
      <c r="AA354" s="24" t="s">
        <v>16</v>
      </c>
      <c r="AB354" s="24" t="s">
        <v>16</v>
      </c>
      <c r="AC354" s="24">
        <v>2</v>
      </c>
      <c r="AD354" s="46" t="s">
        <v>3921</v>
      </c>
      <c r="AE354" s="46" t="s">
        <v>3919</v>
      </c>
      <c r="AF354" s="46" t="s">
        <v>37</v>
      </c>
      <c r="AG354" s="746">
        <v>44166</v>
      </c>
      <c r="AH354" s="46"/>
      <c r="AI354" s="24"/>
      <c r="AJ354" s="1107"/>
    </row>
    <row r="355" spans="1:36" ht="39" x14ac:dyDescent="0.25">
      <c r="A355" s="488"/>
      <c r="B355" s="131"/>
      <c r="C355" s="75"/>
      <c r="D355" s="568"/>
      <c r="E355" s="568"/>
      <c r="F355" s="118"/>
      <c r="G355" s="118"/>
      <c r="H355" s="75"/>
      <c r="I355" s="118"/>
      <c r="J355" s="121"/>
      <c r="K355" s="188"/>
      <c r="L355" s="76"/>
      <c r="M355" s="915"/>
      <c r="N355" s="915"/>
      <c r="O355" s="75"/>
      <c r="P355" s="75"/>
      <c r="Q355" s="76"/>
      <c r="R355" s="77"/>
      <c r="S355" s="42" t="s">
        <v>92</v>
      </c>
      <c r="T355" s="43" t="s">
        <v>3915</v>
      </c>
      <c r="U355" s="24">
        <f>1950-1106</f>
        <v>844</v>
      </c>
      <c r="V355" s="24"/>
      <c r="W355" s="24"/>
      <c r="X355" s="24">
        <f>1950-1735</f>
        <v>215</v>
      </c>
      <c r="Y355" s="24"/>
      <c r="Z355" s="24"/>
      <c r="AA355" s="24" t="s">
        <v>10</v>
      </c>
      <c r="AB355" s="24" t="s">
        <v>10</v>
      </c>
      <c r="AC355" s="24">
        <v>1</v>
      </c>
      <c r="AD355" s="46" t="s">
        <v>3922</v>
      </c>
      <c r="AE355" s="46" t="s">
        <v>3919</v>
      </c>
      <c r="AF355" s="46" t="s">
        <v>37</v>
      </c>
      <c r="AG355" s="746">
        <v>44166</v>
      </c>
      <c r="AH355" s="46"/>
      <c r="AI355" s="24"/>
      <c r="AJ355" s="1107"/>
    </row>
    <row r="356" spans="1:36" ht="51.75" x14ac:dyDescent="0.25">
      <c r="A356" s="488"/>
      <c r="B356" s="131"/>
      <c r="C356" s="75"/>
      <c r="D356" s="568"/>
      <c r="E356" s="568"/>
      <c r="F356" s="118"/>
      <c r="G356" s="118"/>
      <c r="H356" s="75"/>
      <c r="I356" s="118"/>
      <c r="J356" s="121"/>
      <c r="K356" s="188"/>
      <c r="L356" s="76"/>
      <c r="M356" s="915"/>
      <c r="N356" s="915"/>
      <c r="O356" s="75"/>
      <c r="P356" s="75"/>
      <c r="Q356" s="76"/>
      <c r="R356" s="77"/>
      <c r="S356" s="42" t="s">
        <v>99</v>
      </c>
      <c r="T356" s="43" t="s">
        <v>3916</v>
      </c>
      <c r="U356" s="24">
        <f>1950-596</f>
        <v>1354</v>
      </c>
      <c r="V356" s="24"/>
      <c r="W356" s="24"/>
      <c r="X356" s="24">
        <f>1950-1092</f>
        <v>858</v>
      </c>
      <c r="Y356" s="24"/>
      <c r="Z356" s="24"/>
      <c r="AA356" s="24" t="s">
        <v>16</v>
      </c>
      <c r="AB356" s="24" t="s">
        <v>16</v>
      </c>
      <c r="AC356" s="24">
        <v>2</v>
      </c>
      <c r="AD356" s="46" t="s">
        <v>3923</v>
      </c>
      <c r="AE356" s="46" t="s">
        <v>3919</v>
      </c>
      <c r="AF356" s="46" t="s">
        <v>37</v>
      </c>
      <c r="AG356" s="746">
        <v>44166</v>
      </c>
      <c r="AH356" s="46"/>
      <c r="AI356" s="24"/>
      <c r="AJ356" s="1107"/>
    </row>
    <row r="357" spans="1:36" ht="39" x14ac:dyDescent="0.25">
      <c r="A357" s="488"/>
      <c r="B357" s="131"/>
      <c r="C357" s="75"/>
      <c r="D357" s="568"/>
      <c r="E357" s="568"/>
      <c r="F357" s="118"/>
      <c r="G357" s="118"/>
      <c r="H357" s="75"/>
      <c r="I357" s="118"/>
      <c r="J357" s="121"/>
      <c r="K357" s="188"/>
      <c r="L357" s="76"/>
      <c r="M357" s="915"/>
      <c r="N357" s="915"/>
      <c r="O357" s="75"/>
      <c r="P357" s="75"/>
      <c r="Q357" s="76"/>
      <c r="R357" s="77"/>
      <c r="S357" s="42" t="s">
        <v>100</v>
      </c>
      <c r="T357" s="43" t="s">
        <v>3917</v>
      </c>
      <c r="U357" s="24">
        <f>1950-439</f>
        <v>1511</v>
      </c>
      <c r="V357" s="24"/>
      <c r="W357" s="24"/>
      <c r="X357" s="24">
        <f>1950-580</f>
        <v>1370</v>
      </c>
      <c r="Y357" s="24"/>
      <c r="Z357" s="24"/>
      <c r="AA357" s="24" t="s">
        <v>16</v>
      </c>
      <c r="AB357" s="24" t="s">
        <v>10</v>
      </c>
      <c r="AC357" s="24">
        <v>2</v>
      </c>
      <c r="AD357" s="46" t="s">
        <v>3922</v>
      </c>
      <c r="AE357" s="46" t="s">
        <v>3919</v>
      </c>
      <c r="AF357" s="46" t="s">
        <v>37</v>
      </c>
      <c r="AG357" s="746">
        <v>44166</v>
      </c>
      <c r="AH357" s="46"/>
      <c r="AI357" s="24"/>
      <c r="AJ357" s="1107"/>
    </row>
    <row r="358" spans="1:36" ht="39.75" thickBot="1" x14ac:dyDescent="0.3">
      <c r="A358" s="488"/>
      <c r="B358" s="131"/>
      <c r="C358" s="75"/>
      <c r="D358" s="568"/>
      <c r="E358" s="568"/>
      <c r="F358" s="118"/>
      <c r="G358" s="118"/>
      <c r="H358" s="75"/>
      <c r="I358" s="118"/>
      <c r="J358" s="121"/>
      <c r="K358" s="192"/>
      <c r="L358" s="79"/>
      <c r="M358" s="916"/>
      <c r="N358" s="916"/>
      <c r="O358" s="78"/>
      <c r="P358" s="78"/>
      <c r="Q358" s="79"/>
      <c r="R358" s="80"/>
      <c r="S358" s="48" t="s">
        <v>101</v>
      </c>
      <c r="T358" s="49" t="s">
        <v>3918</v>
      </c>
      <c r="U358" s="25">
        <f>1950-299</f>
        <v>1651</v>
      </c>
      <c r="V358" s="25"/>
      <c r="W358" s="25"/>
      <c r="X358" s="25">
        <f>1950-419</f>
        <v>1531</v>
      </c>
      <c r="Y358" s="25"/>
      <c r="Z358" s="25"/>
      <c r="AA358" s="25" t="s">
        <v>10</v>
      </c>
      <c r="AB358" s="25" t="s">
        <v>10</v>
      </c>
      <c r="AC358" s="25">
        <v>1</v>
      </c>
      <c r="AD358" s="52" t="s">
        <v>3922</v>
      </c>
      <c r="AE358" s="52" t="s">
        <v>3919</v>
      </c>
      <c r="AF358" s="52" t="s">
        <v>37</v>
      </c>
      <c r="AG358" s="745">
        <v>44166</v>
      </c>
      <c r="AH358" s="52"/>
      <c r="AI358" s="25"/>
      <c r="AJ358" s="653"/>
    </row>
    <row r="359" spans="1:36" ht="77.25" x14ac:dyDescent="0.25">
      <c r="A359" s="488"/>
      <c r="B359" s="131"/>
      <c r="C359" s="75"/>
      <c r="D359" s="568"/>
      <c r="E359" s="568"/>
      <c r="F359" s="118"/>
      <c r="G359" s="118"/>
      <c r="H359" s="75"/>
      <c r="I359" s="118"/>
      <c r="J359" s="121"/>
      <c r="K359" s="187">
        <v>605</v>
      </c>
      <c r="L359" s="73" t="s">
        <v>3924</v>
      </c>
      <c r="M359" s="914">
        <v>1542499.5514</v>
      </c>
      <c r="N359" s="914">
        <v>5281669.3483999996</v>
      </c>
      <c r="O359" s="129" t="s">
        <v>3936</v>
      </c>
      <c r="P359" s="72">
        <v>5</v>
      </c>
      <c r="Q359" s="73" t="s">
        <v>3934</v>
      </c>
      <c r="R359" s="74" t="s">
        <v>16</v>
      </c>
      <c r="S359" s="38" t="s">
        <v>47</v>
      </c>
      <c r="T359" s="39" t="s">
        <v>3925</v>
      </c>
      <c r="U359" s="31">
        <f>1950-1733</f>
        <v>217</v>
      </c>
      <c r="V359" s="31"/>
      <c r="W359" s="31"/>
      <c r="X359" s="31">
        <f>1950-1888</f>
        <v>62</v>
      </c>
      <c r="Y359" s="31"/>
      <c r="Z359" s="31"/>
      <c r="AA359" s="31" t="s">
        <v>16</v>
      </c>
      <c r="AB359" s="31" t="s">
        <v>10</v>
      </c>
      <c r="AC359" s="31">
        <v>2</v>
      </c>
      <c r="AD359" s="40" t="s">
        <v>3929</v>
      </c>
      <c r="AE359" s="40" t="s">
        <v>3919</v>
      </c>
      <c r="AF359" s="40" t="s">
        <v>37</v>
      </c>
      <c r="AG359" s="744">
        <v>44166</v>
      </c>
      <c r="AH359" s="40"/>
      <c r="AI359" s="31"/>
      <c r="AJ359" s="652"/>
    </row>
    <row r="360" spans="1:36" ht="39" x14ac:dyDescent="0.25">
      <c r="A360" s="488"/>
      <c r="B360" s="131"/>
      <c r="C360" s="75"/>
      <c r="D360" s="568"/>
      <c r="E360" s="568"/>
      <c r="F360" s="118"/>
      <c r="G360" s="118"/>
      <c r="H360" s="75"/>
      <c r="I360" s="118"/>
      <c r="J360" s="121"/>
      <c r="K360" s="188"/>
      <c r="L360" s="76"/>
      <c r="M360" s="915"/>
      <c r="N360" s="915"/>
      <c r="O360" s="75"/>
      <c r="P360" s="75"/>
      <c r="Q360" s="76"/>
      <c r="R360" s="77"/>
      <c r="S360" s="42" t="s">
        <v>91</v>
      </c>
      <c r="T360" s="43" t="s">
        <v>3926</v>
      </c>
      <c r="U360" s="24">
        <f>1950-1235</f>
        <v>715</v>
      </c>
      <c r="V360" s="24"/>
      <c r="W360" s="24"/>
      <c r="X360" s="24">
        <f>1950-1730</f>
        <v>220</v>
      </c>
      <c r="Y360" s="24"/>
      <c r="Z360" s="24"/>
      <c r="AA360" s="24" t="s">
        <v>16</v>
      </c>
      <c r="AB360" s="24" t="s">
        <v>10</v>
      </c>
      <c r="AC360" s="24">
        <v>2</v>
      </c>
      <c r="AD360" s="46" t="s">
        <v>3930</v>
      </c>
      <c r="AE360" s="46" t="s">
        <v>3919</v>
      </c>
      <c r="AF360" s="46" t="s">
        <v>37</v>
      </c>
      <c r="AG360" s="746">
        <v>44166</v>
      </c>
      <c r="AH360" s="46"/>
      <c r="AI360" s="24"/>
      <c r="AJ360" s="1107"/>
    </row>
    <row r="361" spans="1:36" ht="39" x14ac:dyDescent="0.25">
      <c r="A361" s="488"/>
      <c r="B361" s="131"/>
      <c r="C361" s="75"/>
      <c r="D361" s="568"/>
      <c r="E361" s="568"/>
      <c r="F361" s="118"/>
      <c r="G361" s="118"/>
      <c r="H361" s="75"/>
      <c r="I361" s="118"/>
      <c r="J361" s="121"/>
      <c r="K361" s="188"/>
      <c r="L361" s="76"/>
      <c r="M361" s="915"/>
      <c r="N361" s="915"/>
      <c r="O361" s="75"/>
      <c r="P361" s="75"/>
      <c r="Q361" s="76"/>
      <c r="R361" s="77"/>
      <c r="S361" s="42" t="s">
        <v>92</v>
      </c>
      <c r="T361" s="43" t="s">
        <v>3927</v>
      </c>
      <c r="U361" s="24">
        <f>1950-819</f>
        <v>1131</v>
      </c>
      <c r="V361" s="24"/>
      <c r="W361" s="24"/>
      <c r="X361" s="24">
        <f>1950-1192</f>
        <v>758</v>
      </c>
      <c r="Y361" s="24"/>
      <c r="Z361" s="24"/>
      <c r="AA361" s="24" t="s">
        <v>16</v>
      </c>
      <c r="AB361" s="24" t="s">
        <v>10</v>
      </c>
      <c r="AC361" s="24">
        <v>2</v>
      </c>
      <c r="AD361" s="46" t="s">
        <v>3931</v>
      </c>
      <c r="AE361" s="46" t="s">
        <v>3919</v>
      </c>
      <c r="AF361" s="46" t="s">
        <v>37</v>
      </c>
      <c r="AG361" s="746">
        <v>44166</v>
      </c>
      <c r="AH361" s="46"/>
      <c r="AI361" s="24"/>
      <c r="AJ361" s="1107"/>
    </row>
    <row r="362" spans="1:36" ht="39.75" thickBot="1" x14ac:dyDescent="0.3">
      <c r="A362" s="488"/>
      <c r="B362" s="131"/>
      <c r="C362" s="75"/>
      <c r="D362" s="568"/>
      <c r="E362" s="568"/>
      <c r="F362" s="118"/>
      <c r="G362" s="118"/>
      <c r="H362" s="75"/>
      <c r="I362" s="118"/>
      <c r="J362" s="121"/>
      <c r="K362" s="192"/>
      <c r="L362" s="79"/>
      <c r="M362" s="916"/>
      <c r="N362" s="916"/>
      <c r="O362" s="78"/>
      <c r="P362" s="78"/>
      <c r="Q362" s="79"/>
      <c r="R362" s="80"/>
      <c r="S362" s="48" t="s">
        <v>99</v>
      </c>
      <c r="T362" s="49" t="s">
        <v>3928</v>
      </c>
      <c r="U362" s="25">
        <f>1950-373</f>
        <v>1577</v>
      </c>
      <c r="V362" s="25"/>
      <c r="W362" s="25"/>
      <c r="X362" s="25">
        <f>1950-495</f>
        <v>1455</v>
      </c>
      <c r="Y362" s="25"/>
      <c r="Z362" s="25"/>
      <c r="AA362" s="25" t="s">
        <v>10</v>
      </c>
      <c r="AB362" s="25" t="s">
        <v>16</v>
      </c>
      <c r="AC362" s="25">
        <v>2</v>
      </c>
      <c r="AD362" s="52" t="s">
        <v>3932</v>
      </c>
      <c r="AE362" s="52" t="s">
        <v>3919</v>
      </c>
      <c r="AF362" s="52" t="s">
        <v>37</v>
      </c>
      <c r="AG362" s="745">
        <v>44166</v>
      </c>
      <c r="AH362" s="52"/>
      <c r="AI362" s="25"/>
      <c r="AJ362" s="653"/>
    </row>
    <row r="363" spans="1:36" ht="26.25" x14ac:dyDescent="0.25">
      <c r="A363" s="488"/>
      <c r="B363" s="131"/>
      <c r="C363" s="75"/>
      <c r="D363" s="568"/>
      <c r="E363" s="568"/>
      <c r="F363" s="118"/>
      <c r="G363" s="118"/>
      <c r="H363" s="75"/>
      <c r="I363" s="118"/>
      <c r="J363" s="121"/>
      <c r="K363" s="187" t="s">
        <v>2156</v>
      </c>
      <c r="L363" s="73" t="s">
        <v>3935</v>
      </c>
      <c r="M363" s="914" t="s">
        <v>2156</v>
      </c>
      <c r="N363" s="914" t="s">
        <v>2156</v>
      </c>
      <c r="O363" s="72" t="s">
        <v>3948</v>
      </c>
      <c r="P363" s="72">
        <v>6</v>
      </c>
      <c r="Q363" s="73" t="s">
        <v>3949</v>
      </c>
      <c r="R363" s="74" t="s">
        <v>16</v>
      </c>
      <c r="S363" s="38" t="s">
        <v>47</v>
      </c>
      <c r="T363" s="39" t="s">
        <v>3938</v>
      </c>
      <c r="U363" s="31">
        <f>1950-1888</f>
        <v>62</v>
      </c>
      <c r="V363" s="31"/>
      <c r="W363" s="31"/>
      <c r="X363" s="31">
        <v>62</v>
      </c>
      <c r="Y363" s="31"/>
      <c r="Z363" s="31"/>
      <c r="AA363" s="31" t="s">
        <v>16</v>
      </c>
      <c r="AB363" s="31" t="s">
        <v>10</v>
      </c>
      <c r="AC363" s="31">
        <v>2</v>
      </c>
      <c r="AD363" s="40" t="s">
        <v>3940</v>
      </c>
      <c r="AE363" s="40" t="s">
        <v>3919</v>
      </c>
      <c r="AF363" s="40" t="s">
        <v>37</v>
      </c>
      <c r="AG363" s="744">
        <v>44166</v>
      </c>
      <c r="AH363" s="40"/>
      <c r="AI363" s="31"/>
      <c r="AJ363" s="652"/>
    </row>
    <row r="364" spans="1:36" ht="26.25" x14ac:dyDescent="0.25">
      <c r="A364" s="488"/>
      <c r="B364" s="131"/>
      <c r="C364" s="75"/>
      <c r="D364" s="568"/>
      <c r="E364" s="568"/>
      <c r="F364" s="118"/>
      <c r="G364" s="118"/>
      <c r="H364" s="75"/>
      <c r="I364" s="118"/>
      <c r="J364" s="121"/>
      <c r="K364" s="188"/>
      <c r="L364" s="76"/>
      <c r="M364" s="915"/>
      <c r="N364" s="915"/>
      <c r="O364" s="75"/>
      <c r="P364" s="75"/>
      <c r="Q364" s="76"/>
      <c r="R364" s="77"/>
      <c r="S364" s="42" t="s">
        <v>91</v>
      </c>
      <c r="T364" s="43" t="s">
        <v>3939</v>
      </c>
      <c r="U364" s="24">
        <f>1950-1740</f>
        <v>210</v>
      </c>
      <c r="V364" s="24"/>
      <c r="W364" s="24"/>
      <c r="X364" s="24">
        <f>1950-1840</f>
        <v>110</v>
      </c>
      <c r="Y364" s="24"/>
      <c r="Z364" s="24"/>
      <c r="AA364" s="24" t="s">
        <v>16</v>
      </c>
      <c r="AB364" s="24" t="s">
        <v>10</v>
      </c>
      <c r="AC364" s="24">
        <v>2</v>
      </c>
      <c r="AD364" s="46" t="s">
        <v>3941</v>
      </c>
      <c r="AE364" s="46" t="s">
        <v>3919</v>
      </c>
      <c r="AF364" s="46" t="s">
        <v>37</v>
      </c>
      <c r="AG364" s="746">
        <v>44166</v>
      </c>
      <c r="AH364" s="46"/>
      <c r="AI364" s="24"/>
      <c r="AJ364" s="1107"/>
    </row>
    <row r="365" spans="1:36" x14ac:dyDescent="0.25">
      <c r="A365" s="488"/>
      <c r="B365" s="131"/>
      <c r="C365" s="75"/>
      <c r="D365" s="568"/>
      <c r="E365" s="568"/>
      <c r="F365" s="118"/>
      <c r="G365" s="118"/>
      <c r="H365" s="75"/>
      <c r="I365" s="118"/>
      <c r="J365" s="121"/>
      <c r="K365" s="188"/>
      <c r="L365" s="76"/>
      <c r="M365" s="915"/>
      <c r="N365" s="915"/>
      <c r="O365" s="75"/>
      <c r="P365" s="75"/>
      <c r="Q365" s="76"/>
      <c r="R365" s="77"/>
      <c r="S365" s="42" t="s">
        <v>92</v>
      </c>
      <c r="T365" s="43" t="s">
        <v>3942</v>
      </c>
      <c r="U365" s="24">
        <f>1950-1479</f>
        <v>471</v>
      </c>
      <c r="V365" s="24"/>
      <c r="W365" s="24"/>
      <c r="X365" s="24">
        <f>1950-1623</f>
        <v>327</v>
      </c>
      <c r="Y365" s="24"/>
      <c r="Z365" s="24"/>
      <c r="AA365" s="24" t="s">
        <v>16</v>
      </c>
      <c r="AB365" s="24" t="s">
        <v>10</v>
      </c>
      <c r="AC365" s="24">
        <v>2</v>
      </c>
      <c r="AD365" s="46"/>
      <c r="AE365" s="46" t="s">
        <v>3919</v>
      </c>
      <c r="AF365" s="46" t="s">
        <v>37</v>
      </c>
      <c r="AG365" s="746">
        <v>44166</v>
      </c>
      <c r="AH365" s="46"/>
      <c r="AI365" s="24"/>
      <c r="AJ365" s="1107"/>
    </row>
    <row r="366" spans="1:36" x14ac:dyDescent="0.25">
      <c r="A366" s="488"/>
      <c r="B366" s="131"/>
      <c r="C366" s="75"/>
      <c r="D366" s="568"/>
      <c r="E366" s="568"/>
      <c r="F366" s="118"/>
      <c r="G366" s="118"/>
      <c r="H366" s="75"/>
      <c r="I366" s="118"/>
      <c r="J366" s="121"/>
      <c r="K366" s="188"/>
      <c r="L366" s="76"/>
      <c r="M366" s="915"/>
      <c r="N366" s="915"/>
      <c r="O366" s="75"/>
      <c r="P366" s="75"/>
      <c r="Q366" s="76"/>
      <c r="R366" s="77"/>
      <c r="S366" s="42" t="s">
        <v>99</v>
      </c>
      <c r="T366" s="43" t="s">
        <v>3943</v>
      </c>
      <c r="U366" s="24">
        <f>1950-819</f>
        <v>1131</v>
      </c>
      <c r="V366" s="24"/>
      <c r="W366" s="24"/>
      <c r="X366" s="24">
        <f>1950-1092</f>
        <v>858</v>
      </c>
      <c r="Y366" s="24"/>
      <c r="Z366" s="24"/>
      <c r="AA366" s="24" t="s">
        <v>16</v>
      </c>
      <c r="AB366" s="24" t="s">
        <v>10</v>
      </c>
      <c r="AC366" s="24">
        <v>2</v>
      </c>
      <c r="AD366" s="46" t="s">
        <v>3947</v>
      </c>
      <c r="AE366" s="46" t="s">
        <v>3919</v>
      </c>
      <c r="AF366" s="46" t="s">
        <v>37</v>
      </c>
      <c r="AG366" s="746">
        <v>44166</v>
      </c>
      <c r="AH366" s="46"/>
      <c r="AI366" s="24"/>
      <c r="AJ366" s="1107"/>
    </row>
    <row r="367" spans="1:36" x14ac:dyDescent="0.25">
      <c r="A367" s="488"/>
      <c r="B367" s="131"/>
      <c r="C367" s="75"/>
      <c r="D367" s="568"/>
      <c r="E367" s="568"/>
      <c r="F367" s="118"/>
      <c r="G367" s="118"/>
      <c r="H367" s="75"/>
      <c r="I367" s="118"/>
      <c r="J367" s="121"/>
      <c r="K367" s="188"/>
      <c r="L367" s="76"/>
      <c r="M367" s="915"/>
      <c r="N367" s="915"/>
      <c r="O367" s="75"/>
      <c r="P367" s="75"/>
      <c r="Q367" s="76"/>
      <c r="R367" s="77"/>
      <c r="S367" s="42" t="s">
        <v>100</v>
      </c>
      <c r="T367" s="43" t="s">
        <v>3944</v>
      </c>
      <c r="U367" s="24">
        <f>1950-439</f>
        <v>1511</v>
      </c>
      <c r="V367" s="24"/>
      <c r="W367" s="24"/>
      <c r="X367" s="24">
        <f>1950-551</f>
        <v>1399</v>
      </c>
      <c r="Y367" s="24"/>
      <c r="Z367" s="24"/>
      <c r="AA367" s="24" t="s">
        <v>16</v>
      </c>
      <c r="AB367" s="24" t="s">
        <v>10</v>
      </c>
      <c r="AC367" s="24">
        <v>2</v>
      </c>
      <c r="AD367" s="46" t="s">
        <v>3946</v>
      </c>
      <c r="AE367" s="46" t="s">
        <v>3919</v>
      </c>
      <c r="AF367" s="46" t="s">
        <v>37</v>
      </c>
      <c r="AG367" s="746">
        <v>44166</v>
      </c>
      <c r="AH367" s="46"/>
      <c r="AI367" s="24"/>
      <c r="AJ367" s="1107"/>
    </row>
    <row r="368" spans="1:36" ht="15.75" thickBot="1" x14ac:dyDescent="0.3">
      <c r="A368" s="488"/>
      <c r="B368" s="131"/>
      <c r="C368" s="75"/>
      <c r="D368" s="568"/>
      <c r="E368" s="568"/>
      <c r="F368" s="118"/>
      <c r="G368" s="118"/>
      <c r="H368" s="75"/>
      <c r="I368" s="118"/>
      <c r="J368" s="121"/>
      <c r="K368" s="192"/>
      <c r="L368" s="79"/>
      <c r="M368" s="916"/>
      <c r="N368" s="916"/>
      <c r="O368" s="78"/>
      <c r="P368" s="78"/>
      <c r="Q368" s="79"/>
      <c r="R368" s="80"/>
      <c r="S368" s="48" t="s">
        <v>101</v>
      </c>
      <c r="T368" s="49" t="s">
        <v>3945</v>
      </c>
      <c r="U368" s="25">
        <f>1950-373</f>
        <v>1577</v>
      </c>
      <c r="V368" s="25"/>
      <c r="W368" s="25"/>
      <c r="X368" s="25">
        <f>1950-419</f>
        <v>1531</v>
      </c>
      <c r="Y368" s="25"/>
      <c r="Z368" s="25"/>
      <c r="AA368" s="25" t="s">
        <v>10</v>
      </c>
      <c r="AB368" s="25" t="s">
        <v>16</v>
      </c>
      <c r="AC368" s="25">
        <v>2</v>
      </c>
      <c r="AD368" s="52" t="s">
        <v>3947</v>
      </c>
      <c r="AE368" s="52" t="s">
        <v>3919</v>
      </c>
      <c r="AF368" s="52" t="s">
        <v>37</v>
      </c>
      <c r="AG368" s="745">
        <v>44166</v>
      </c>
      <c r="AH368" s="52"/>
      <c r="AI368" s="25"/>
      <c r="AJ368" s="653"/>
    </row>
    <row r="369" spans="1:36" ht="90" x14ac:dyDescent="0.25">
      <c r="A369" s="488"/>
      <c r="B369" s="131"/>
      <c r="C369" s="75"/>
      <c r="D369" s="568"/>
      <c r="E369" s="568"/>
      <c r="F369" s="118"/>
      <c r="G369" s="118"/>
      <c r="H369" s="75"/>
      <c r="I369" s="118"/>
      <c r="J369" s="121"/>
      <c r="K369" s="187">
        <v>635</v>
      </c>
      <c r="L369" s="73" t="s">
        <v>4062</v>
      </c>
      <c r="M369" s="914">
        <v>1561358.2904999999</v>
      </c>
      <c r="N369" s="914">
        <v>5283977.2812000001</v>
      </c>
      <c r="O369" s="72" t="s">
        <v>4070</v>
      </c>
      <c r="P369" s="72">
        <v>5</v>
      </c>
      <c r="Q369" s="73" t="s">
        <v>4071</v>
      </c>
      <c r="R369" s="74" t="s">
        <v>85</v>
      </c>
      <c r="S369" s="38" t="s">
        <v>47</v>
      </c>
      <c r="T369" s="39" t="s">
        <v>3938</v>
      </c>
      <c r="U369" s="31">
        <f>1950-1888</f>
        <v>62</v>
      </c>
      <c r="V369" s="31"/>
      <c r="W369" s="31"/>
      <c r="X369" s="31"/>
      <c r="Y369" s="31"/>
      <c r="Z369" s="31"/>
      <c r="AA369" s="31" t="s">
        <v>85</v>
      </c>
      <c r="AB369" s="31" t="s">
        <v>16</v>
      </c>
      <c r="AC369" s="31">
        <v>3</v>
      </c>
      <c r="AD369" s="40" t="s">
        <v>4067</v>
      </c>
      <c r="AE369" s="40" t="s">
        <v>653</v>
      </c>
      <c r="AF369" s="40" t="s">
        <v>37</v>
      </c>
      <c r="AG369" s="744">
        <v>44183</v>
      </c>
      <c r="AH369" s="40"/>
      <c r="AI369" s="31"/>
      <c r="AJ369" s="652"/>
    </row>
    <row r="370" spans="1:36" ht="90" x14ac:dyDescent="0.25">
      <c r="A370" s="488"/>
      <c r="B370" s="131"/>
      <c r="C370" s="75"/>
      <c r="D370" s="568"/>
      <c r="E370" s="568"/>
      <c r="F370" s="118"/>
      <c r="G370" s="118"/>
      <c r="H370" s="75"/>
      <c r="I370" s="118"/>
      <c r="J370" s="121"/>
      <c r="K370" s="188"/>
      <c r="L370" s="76"/>
      <c r="M370" s="915"/>
      <c r="N370" s="915"/>
      <c r="O370" s="75"/>
      <c r="P370" s="75"/>
      <c r="Q370" s="76"/>
      <c r="R370" s="77"/>
      <c r="S370" s="42" t="s">
        <v>91</v>
      </c>
      <c r="T370" s="43" t="s">
        <v>4063</v>
      </c>
      <c r="U370" s="24">
        <f>1950-1745</f>
        <v>205</v>
      </c>
      <c r="V370" s="24"/>
      <c r="W370" s="24"/>
      <c r="X370" s="24"/>
      <c r="Y370" s="24"/>
      <c r="Z370" s="24"/>
      <c r="AA370" s="24" t="s">
        <v>85</v>
      </c>
      <c r="AB370" s="24" t="s">
        <v>16</v>
      </c>
      <c r="AC370" s="24">
        <v>3</v>
      </c>
      <c r="AD370" s="46" t="s">
        <v>4068</v>
      </c>
      <c r="AE370" s="46" t="s">
        <v>653</v>
      </c>
      <c r="AF370" s="46" t="s">
        <v>37</v>
      </c>
      <c r="AG370" s="746">
        <v>44183</v>
      </c>
      <c r="AH370" s="46"/>
      <c r="AI370" s="24"/>
      <c r="AJ370" s="1107"/>
    </row>
    <row r="371" spans="1:36" x14ac:dyDescent="0.25">
      <c r="A371" s="488"/>
      <c r="B371" s="131"/>
      <c r="C371" s="75"/>
      <c r="D371" s="568"/>
      <c r="E371" s="568"/>
      <c r="F371" s="118"/>
      <c r="G371" s="118"/>
      <c r="H371" s="75"/>
      <c r="I371" s="118"/>
      <c r="J371" s="121"/>
      <c r="K371" s="188"/>
      <c r="L371" s="76"/>
      <c r="M371" s="915"/>
      <c r="N371" s="915"/>
      <c r="O371" s="75"/>
      <c r="P371" s="75"/>
      <c r="Q371" s="76"/>
      <c r="R371" s="77"/>
      <c r="S371" s="42" t="s">
        <v>92</v>
      </c>
      <c r="T371" s="43" t="s">
        <v>4064</v>
      </c>
      <c r="U371" s="24">
        <f>1950-1602</f>
        <v>348</v>
      </c>
      <c r="V371" s="24"/>
      <c r="W371" s="24"/>
      <c r="X371" s="24"/>
      <c r="Y371" s="24"/>
      <c r="Z371" s="24"/>
      <c r="AA371" s="24" t="s">
        <v>85</v>
      </c>
      <c r="AB371" s="24" t="s">
        <v>16</v>
      </c>
      <c r="AC371" s="24">
        <v>3</v>
      </c>
      <c r="AD371" s="46" t="s">
        <v>4069</v>
      </c>
      <c r="AE371" s="46" t="s">
        <v>653</v>
      </c>
      <c r="AF371" s="46" t="s">
        <v>37</v>
      </c>
      <c r="AG371" s="746">
        <v>44183</v>
      </c>
      <c r="AH371" s="46"/>
      <c r="AI371" s="24"/>
      <c r="AJ371" s="1107"/>
    </row>
    <row r="372" spans="1:36" x14ac:dyDescent="0.25">
      <c r="A372" s="488"/>
      <c r="B372" s="131"/>
      <c r="C372" s="75"/>
      <c r="D372" s="568"/>
      <c r="E372" s="568"/>
      <c r="F372" s="118"/>
      <c r="G372" s="118"/>
      <c r="H372" s="75"/>
      <c r="I372" s="118"/>
      <c r="J372" s="121"/>
      <c r="K372" s="188"/>
      <c r="L372" s="76"/>
      <c r="M372" s="915"/>
      <c r="N372" s="915"/>
      <c r="O372" s="75"/>
      <c r="P372" s="75"/>
      <c r="Q372" s="76"/>
      <c r="R372" s="77"/>
      <c r="S372" s="42" t="s">
        <v>99</v>
      </c>
      <c r="T372" s="43" t="s">
        <v>4065</v>
      </c>
      <c r="U372" s="24">
        <f>1950-1459</f>
        <v>491</v>
      </c>
      <c r="V372" s="24"/>
      <c r="W372" s="24"/>
      <c r="X372" s="24"/>
      <c r="Y372" s="24"/>
      <c r="Z372" s="24"/>
      <c r="AA372" s="24" t="s">
        <v>85</v>
      </c>
      <c r="AB372" s="24" t="s">
        <v>16</v>
      </c>
      <c r="AC372" s="24">
        <v>3</v>
      </c>
      <c r="AD372" s="46" t="s">
        <v>4069</v>
      </c>
      <c r="AE372" s="46" t="s">
        <v>653</v>
      </c>
      <c r="AF372" s="46" t="s">
        <v>37</v>
      </c>
      <c r="AG372" s="746">
        <v>44183</v>
      </c>
      <c r="AH372" s="46"/>
      <c r="AI372" s="24"/>
      <c r="AJ372" s="1107"/>
    </row>
    <row r="373" spans="1:36" ht="15.75" thickBot="1" x14ac:dyDescent="0.3">
      <c r="A373" s="488"/>
      <c r="B373" s="131"/>
      <c r="C373" s="75"/>
      <c r="D373" s="568"/>
      <c r="E373" s="568"/>
      <c r="F373" s="118"/>
      <c r="G373" s="118"/>
      <c r="H373" s="75"/>
      <c r="I373" s="118"/>
      <c r="J373" s="121"/>
      <c r="K373" s="192"/>
      <c r="L373" s="79"/>
      <c r="M373" s="916"/>
      <c r="N373" s="916"/>
      <c r="O373" s="78"/>
      <c r="P373" s="78"/>
      <c r="Q373" s="79"/>
      <c r="R373" s="80"/>
      <c r="S373" s="48" t="s">
        <v>100</v>
      </c>
      <c r="T373" s="49" t="s">
        <v>4066</v>
      </c>
      <c r="U373" s="25">
        <f>1950-1316</f>
        <v>634</v>
      </c>
      <c r="V373" s="25"/>
      <c r="W373" s="25"/>
      <c r="X373" s="25"/>
      <c r="Y373" s="25"/>
      <c r="Z373" s="25"/>
      <c r="AA373" s="25" t="s">
        <v>85</v>
      </c>
      <c r="AB373" s="25" t="s">
        <v>16</v>
      </c>
      <c r="AC373" s="25">
        <v>3</v>
      </c>
      <c r="AD373" s="52" t="s">
        <v>4069</v>
      </c>
      <c r="AE373" s="52" t="s">
        <v>653</v>
      </c>
      <c r="AF373" s="52" t="s">
        <v>37</v>
      </c>
      <c r="AG373" s="745">
        <v>44183</v>
      </c>
      <c r="AH373" s="52"/>
      <c r="AI373" s="25"/>
      <c r="AJ373" s="653"/>
    </row>
    <row r="374" spans="1:36" ht="64.5" x14ac:dyDescent="0.25">
      <c r="A374" s="488"/>
      <c r="B374" s="131"/>
      <c r="C374" s="75"/>
      <c r="D374" s="568"/>
      <c r="E374" s="568"/>
      <c r="F374" s="118"/>
      <c r="G374" s="118"/>
      <c r="H374" s="75"/>
      <c r="I374" s="118"/>
      <c r="J374" s="121"/>
      <c r="K374" s="187">
        <v>636</v>
      </c>
      <c r="L374" s="73" t="s">
        <v>4072</v>
      </c>
      <c r="M374" s="914">
        <v>1520192.9313999999</v>
      </c>
      <c r="N374" s="914">
        <v>5272871.7501999997</v>
      </c>
      <c r="O374" s="72" t="s">
        <v>41</v>
      </c>
      <c r="P374" s="72">
        <v>2</v>
      </c>
      <c r="Q374" s="73" t="s">
        <v>2156</v>
      </c>
      <c r="R374" s="74" t="s">
        <v>2156</v>
      </c>
      <c r="S374" s="38" t="s">
        <v>47</v>
      </c>
      <c r="T374" s="39" t="s">
        <v>4073</v>
      </c>
      <c r="U374" s="31"/>
      <c r="V374" s="31">
        <f>1950-1835</f>
        <v>115</v>
      </c>
      <c r="W374" s="31">
        <f>1950-1685</f>
        <v>265</v>
      </c>
      <c r="X374" s="31"/>
      <c r="Y374" s="31"/>
      <c r="Z374" s="31"/>
      <c r="AA374" s="31" t="s">
        <v>10</v>
      </c>
      <c r="AB374" s="31" t="s">
        <v>10</v>
      </c>
      <c r="AC374" s="31">
        <v>1</v>
      </c>
      <c r="AD374" s="40" t="s">
        <v>4074</v>
      </c>
      <c r="AE374" s="40" t="s">
        <v>4077</v>
      </c>
      <c r="AF374" s="40" t="s">
        <v>37</v>
      </c>
      <c r="AG374" s="744">
        <v>44183</v>
      </c>
      <c r="AH374" s="40"/>
      <c r="AI374" s="31"/>
      <c r="AJ374" s="652"/>
    </row>
    <row r="375" spans="1:36" ht="52.5" thickBot="1" x14ac:dyDescent="0.3">
      <c r="A375" s="488"/>
      <c r="B375" s="131"/>
      <c r="C375" s="75"/>
      <c r="D375" s="568"/>
      <c r="E375" s="568"/>
      <c r="F375" s="118"/>
      <c r="G375" s="118"/>
      <c r="H375" s="75"/>
      <c r="I375" s="118"/>
      <c r="J375" s="121"/>
      <c r="K375" s="192"/>
      <c r="L375" s="79"/>
      <c r="M375" s="916"/>
      <c r="N375" s="916"/>
      <c r="O375" s="78"/>
      <c r="P375" s="78"/>
      <c r="Q375" s="79"/>
      <c r="R375" s="80"/>
      <c r="S375" s="48" t="s">
        <v>91</v>
      </c>
      <c r="T375" s="49" t="s">
        <v>4075</v>
      </c>
      <c r="U375" s="25"/>
      <c r="V375" s="25">
        <f>1950-1625</f>
        <v>325</v>
      </c>
      <c r="W375" s="25">
        <f>1950-1415</f>
        <v>535</v>
      </c>
      <c r="X375" s="25"/>
      <c r="Y375" s="25"/>
      <c r="Z375" s="25"/>
      <c r="AA375" s="25" t="s">
        <v>10</v>
      </c>
      <c r="AB375" s="25" t="s">
        <v>10</v>
      </c>
      <c r="AC375" s="25">
        <v>1</v>
      </c>
      <c r="AD375" s="52" t="s">
        <v>4076</v>
      </c>
      <c r="AE375" s="52" t="s">
        <v>4077</v>
      </c>
      <c r="AF375" s="52" t="s">
        <v>37</v>
      </c>
      <c r="AG375" s="745">
        <v>44183</v>
      </c>
      <c r="AH375" s="52"/>
      <c r="AI375" s="25"/>
      <c r="AJ375" s="653"/>
    </row>
    <row r="376" spans="1:36" ht="39.75" thickBot="1" x14ac:dyDescent="0.3">
      <c r="A376" s="489"/>
      <c r="B376" s="133"/>
      <c r="C376" s="78"/>
      <c r="D376" s="569"/>
      <c r="E376" s="569"/>
      <c r="F376" s="119"/>
      <c r="G376" s="232"/>
      <c r="H376" s="78"/>
      <c r="I376" s="79"/>
      <c r="J376" s="429"/>
      <c r="K376" s="87">
        <v>647</v>
      </c>
      <c r="L376" s="360" t="s">
        <v>4122</v>
      </c>
      <c r="M376" s="198">
        <v>1521953.57</v>
      </c>
      <c r="N376" s="198">
        <v>5273335.4365999997</v>
      </c>
      <c r="O376" s="83" t="s">
        <v>4118</v>
      </c>
      <c r="P376" s="268" t="s">
        <v>4119</v>
      </c>
      <c r="Q376" s="360" t="s">
        <v>4120</v>
      </c>
      <c r="R376" s="88" t="s">
        <v>16</v>
      </c>
      <c r="S376" s="428" t="s">
        <v>41</v>
      </c>
      <c r="T376" s="243"/>
      <c r="U376" s="86"/>
      <c r="V376" s="86"/>
      <c r="W376" s="86"/>
      <c r="X376" s="86"/>
      <c r="Y376" s="86"/>
      <c r="Z376" s="86"/>
      <c r="AA376" s="86"/>
      <c r="AB376" s="86"/>
      <c r="AC376" s="86"/>
      <c r="AD376" s="92"/>
      <c r="AE376" s="92" t="s">
        <v>4121</v>
      </c>
      <c r="AF376" s="92" t="s">
        <v>37</v>
      </c>
      <c r="AG376" s="743">
        <v>44207</v>
      </c>
      <c r="AH376" s="92"/>
      <c r="AI376" s="86"/>
      <c r="AJ376" s="1108"/>
    </row>
    <row r="377" spans="1:36" ht="128.25" x14ac:dyDescent="0.25">
      <c r="A377" s="681" t="s">
        <v>1943</v>
      </c>
      <c r="B377" s="682" t="s">
        <v>1943</v>
      </c>
      <c r="C377" s="663">
        <v>200</v>
      </c>
      <c r="D377" s="781" t="s">
        <v>57</v>
      </c>
      <c r="E377" s="781"/>
      <c r="F377" s="675"/>
      <c r="G377" s="675"/>
      <c r="H377" s="663"/>
      <c r="I377" s="675"/>
      <c r="J377" s="1124"/>
      <c r="K377" s="664">
        <v>4021</v>
      </c>
      <c r="L377" s="669" t="s">
        <v>6474</v>
      </c>
      <c r="M377" s="977">
        <v>1883418.2746009999</v>
      </c>
      <c r="N377" s="977">
        <v>5768900.2347569996</v>
      </c>
      <c r="O377" s="676" t="s">
        <v>6460</v>
      </c>
      <c r="P377" s="669">
        <v>3</v>
      </c>
      <c r="Q377" s="665" t="s">
        <v>6461</v>
      </c>
      <c r="R377" s="666" t="s">
        <v>85</v>
      </c>
      <c r="S377" s="656" t="s">
        <v>47</v>
      </c>
      <c r="T377" s="340" t="s">
        <v>6462</v>
      </c>
      <c r="U377" s="31">
        <v>8814</v>
      </c>
      <c r="V377" s="31">
        <v>8806</v>
      </c>
      <c r="W377" s="31">
        <v>8822</v>
      </c>
      <c r="X377" s="31">
        <v>1750</v>
      </c>
      <c r="Y377" s="31">
        <v>1650</v>
      </c>
      <c r="Z377" s="31">
        <v>1850</v>
      </c>
      <c r="AA377" s="31" t="s">
        <v>16</v>
      </c>
      <c r="AB377" s="31" t="s">
        <v>16</v>
      </c>
      <c r="AC377" s="31">
        <v>2</v>
      </c>
      <c r="AD377" s="40" t="s">
        <v>6463</v>
      </c>
      <c r="AE377" s="40" t="s">
        <v>1952</v>
      </c>
      <c r="AF377" s="1127" t="s">
        <v>6372</v>
      </c>
      <c r="AG377" s="739">
        <v>44237</v>
      </c>
      <c r="AH377" s="1127"/>
      <c r="AI377" s="744">
        <v>44326</v>
      </c>
      <c r="AJ377" s="652" t="s">
        <v>37</v>
      </c>
    </row>
    <row r="378" spans="1:36" ht="115.5" x14ac:dyDescent="0.25">
      <c r="A378" s="1115"/>
      <c r="B378" s="1119"/>
      <c r="C378" s="667"/>
      <c r="D378" s="782"/>
      <c r="E378" s="782"/>
      <c r="F378" s="676"/>
      <c r="G378" s="676"/>
      <c r="H378" s="667"/>
      <c r="I378" s="676"/>
      <c r="J378" s="1125"/>
      <c r="K378" s="668"/>
      <c r="L378" s="679"/>
      <c r="M378" s="975"/>
      <c r="N378" s="975"/>
      <c r="O378" s="677"/>
      <c r="P378" s="678"/>
      <c r="Q378" s="679"/>
      <c r="R378" s="670"/>
      <c r="S378" s="658" t="s">
        <v>91</v>
      </c>
      <c r="T378" s="179" t="s">
        <v>6464</v>
      </c>
      <c r="U378" s="24">
        <v>15700</v>
      </c>
      <c r="V378" s="24">
        <v>15400</v>
      </c>
      <c r="W378" s="24">
        <v>16000</v>
      </c>
      <c r="X378" s="24">
        <v>9550</v>
      </c>
      <c r="Y378" s="24">
        <v>9450</v>
      </c>
      <c r="Z378" s="24">
        <v>9650</v>
      </c>
      <c r="AA378" s="24" t="s">
        <v>16</v>
      </c>
      <c r="AB378" s="24" t="s">
        <v>16</v>
      </c>
      <c r="AC378" s="24">
        <v>2</v>
      </c>
      <c r="AD378" s="46" t="s">
        <v>6465</v>
      </c>
      <c r="AE378" s="46" t="s">
        <v>1952</v>
      </c>
      <c r="AF378" s="1128" t="s">
        <v>6372</v>
      </c>
      <c r="AG378" s="740">
        <v>44237</v>
      </c>
      <c r="AH378" s="1128"/>
      <c r="AI378" s="746">
        <v>44326</v>
      </c>
      <c r="AJ378" s="1107" t="s">
        <v>37</v>
      </c>
    </row>
    <row r="379" spans="1:36" ht="129" thickBot="1" x14ac:dyDescent="0.3">
      <c r="A379" s="1115"/>
      <c r="B379" s="1119"/>
      <c r="C379" s="667"/>
      <c r="D379" s="782"/>
      <c r="E379" s="782"/>
      <c r="F379" s="676"/>
      <c r="G379" s="676"/>
      <c r="H379" s="667"/>
      <c r="I379" s="676"/>
      <c r="J379" s="1125"/>
      <c r="K379" s="672"/>
      <c r="L379" s="673"/>
      <c r="M379" s="976"/>
      <c r="N379" s="976"/>
      <c r="O379" s="680"/>
      <c r="P379" s="671"/>
      <c r="Q379" s="673"/>
      <c r="R379" s="674"/>
      <c r="S379" s="657" t="s">
        <v>92</v>
      </c>
      <c r="T379" s="335" t="s">
        <v>6466</v>
      </c>
      <c r="U379" s="25">
        <v>27000</v>
      </c>
      <c r="V379" s="25">
        <v>26700</v>
      </c>
      <c r="W379" s="25">
        <v>27300</v>
      </c>
      <c r="X379" s="25">
        <v>15700</v>
      </c>
      <c r="Y379" s="25">
        <v>15400</v>
      </c>
      <c r="Z379" s="25">
        <v>16000</v>
      </c>
      <c r="AA379" s="25" t="s">
        <v>85</v>
      </c>
      <c r="AB379" s="25" t="s">
        <v>85</v>
      </c>
      <c r="AC379" s="25">
        <v>3</v>
      </c>
      <c r="AD379" s="52" t="s">
        <v>6467</v>
      </c>
      <c r="AE379" s="52" t="s">
        <v>1952</v>
      </c>
      <c r="AF379" s="1129" t="s">
        <v>6372</v>
      </c>
      <c r="AG379" s="741">
        <v>44237</v>
      </c>
      <c r="AH379" s="1129"/>
      <c r="AI379" s="745">
        <v>44326</v>
      </c>
      <c r="AJ379" s="653" t="s">
        <v>37</v>
      </c>
    </row>
    <row r="380" spans="1:36" ht="115.5" x14ac:dyDescent="0.25">
      <c r="A380" s="1115"/>
      <c r="B380" s="1119"/>
      <c r="C380" s="667"/>
      <c r="D380" s="782"/>
      <c r="E380" s="782"/>
      <c r="F380" s="676"/>
      <c r="G380" s="676"/>
      <c r="H380" s="667"/>
      <c r="I380" s="676"/>
      <c r="J380" s="1125"/>
      <c r="K380" s="668">
        <v>4022</v>
      </c>
      <c r="L380" s="669" t="s">
        <v>6475</v>
      </c>
      <c r="M380" s="977">
        <v>1883355.412426</v>
      </c>
      <c r="N380" s="977">
        <v>5768869.5644490002</v>
      </c>
      <c r="O380" s="676" t="s">
        <v>6469</v>
      </c>
      <c r="P380" s="667">
        <v>2</v>
      </c>
      <c r="Q380" s="669" t="s">
        <v>6470</v>
      </c>
      <c r="R380" s="670" t="s">
        <v>85</v>
      </c>
      <c r="S380" s="658" t="s">
        <v>47</v>
      </c>
      <c r="T380" s="337" t="s">
        <v>6471</v>
      </c>
      <c r="U380" s="2">
        <v>8050</v>
      </c>
      <c r="V380" s="2">
        <v>7950</v>
      </c>
      <c r="W380" s="2">
        <v>8150</v>
      </c>
      <c r="X380" s="2">
        <v>1750</v>
      </c>
      <c r="Y380" s="2">
        <v>1650</v>
      </c>
      <c r="Z380" s="2">
        <v>1850</v>
      </c>
      <c r="AA380" s="2" t="s">
        <v>16</v>
      </c>
      <c r="AB380" s="2" t="s">
        <v>10</v>
      </c>
      <c r="AC380" s="2">
        <v>2</v>
      </c>
      <c r="AD380" s="3" t="s">
        <v>6472</v>
      </c>
      <c r="AE380" s="3" t="s">
        <v>1952</v>
      </c>
      <c r="AF380" s="1130" t="s">
        <v>6372</v>
      </c>
      <c r="AG380" s="742">
        <v>44237</v>
      </c>
      <c r="AH380" s="1130"/>
      <c r="AI380" s="747">
        <v>44326</v>
      </c>
      <c r="AJ380" s="1107" t="s">
        <v>37</v>
      </c>
    </row>
    <row r="381" spans="1:36" ht="154.5" thickBot="1" x14ac:dyDescent="0.3">
      <c r="A381" s="1117"/>
      <c r="B381" s="1118"/>
      <c r="C381" s="671"/>
      <c r="D381" s="783"/>
      <c r="E381" s="783"/>
      <c r="F381" s="680"/>
      <c r="G381" s="680"/>
      <c r="H381" s="671"/>
      <c r="I381" s="680"/>
      <c r="J381" s="1126"/>
      <c r="K381" s="672"/>
      <c r="L381" s="673"/>
      <c r="M381" s="976"/>
      <c r="N381" s="976"/>
      <c r="O381" s="671"/>
      <c r="P381" s="671"/>
      <c r="Q381" s="673"/>
      <c r="R381" s="674"/>
      <c r="S381" s="657" t="s">
        <v>91</v>
      </c>
      <c r="T381" s="335" t="s">
        <v>6464</v>
      </c>
      <c r="U381" s="25">
        <v>15700</v>
      </c>
      <c r="V381" s="25">
        <v>15400</v>
      </c>
      <c r="W381" s="25">
        <v>16000</v>
      </c>
      <c r="X381" s="25">
        <v>9550</v>
      </c>
      <c r="Y381" s="25">
        <v>9450</v>
      </c>
      <c r="Z381" s="25">
        <v>9650</v>
      </c>
      <c r="AA381" s="25" t="s">
        <v>16</v>
      </c>
      <c r="AB381" s="25" t="s">
        <v>16</v>
      </c>
      <c r="AC381" s="25">
        <v>2</v>
      </c>
      <c r="AD381" s="52" t="s">
        <v>6473</v>
      </c>
      <c r="AE381" s="52" t="s">
        <v>1952</v>
      </c>
      <c r="AF381" s="1129" t="s">
        <v>6372</v>
      </c>
      <c r="AG381" s="741">
        <v>44237</v>
      </c>
      <c r="AH381" s="1129"/>
      <c r="AI381" s="745">
        <v>44326</v>
      </c>
      <c r="AJ381" s="653" t="s">
        <v>37</v>
      </c>
    </row>
    <row r="382" spans="1:36" ht="51.75" x14ac:dyDescent="0.25">
      <c r="A382" s="341" t="s">
        <v>1958</v>
      </c>
      <c r="B382" s="181" t="s">
        <v>1958</v>
      </c>
      <c r="C382" s="125">
        <v>27</v>
      </c>
      <c r="D382" s="585" t="s">
        <v>57</v>
      </c>
      <c r="E382" s="585"/>
      <c r="F382" s="126"/>
      <c r="G382" s="513"/>
      <c r="H382" s="125"/>
      <c r="I382" s="126"/>
      <c r="J382" s="247"/>
      <c r="K382" s="189">
        <v>804</v>
      </c>
      <c r="L382" s="355" t="s">
        <v>4599</v>
      </c>
      <c r="M382" s="911">
        <v>1699200.8115999999</v>
      </c>
      <c r="N382" s="911">
        <v>5663433.6945000002</v>
      </c>
      <c r="O382" s="125" t="s">
        <v>4605</v>
      </c>
      <c r="P382" s="125">
        <v>3</v>
      </c>
      <c r="Q382" s="355" t="s">
        <v>4606</v>
      </c>
      <c r="R382" s="134" t="s">
        <v>16</v>
      </c>
      <c r="S382" s="38" t="s">
        <v>47</v>
      </c>
      <c r="T382" s="39" t="s">
        <v>4641</v>
      </c>
      <c r="U382" s="31"/>
      <c r="V382" s="31"/>
      <c r="W382" s="31"/>
      <c r="X382" s="31"/>
      <c r="Y382" s="31"/>
      <c r="Z382" s="31"/>
      <c r="AA382" s="31" t="s">
        <v>16</v>
      </c>
      <c r="AB382" s="31" t="s">
        <v>10</v>
      </c>
      <c r="AC382" s="31">
        <v>2</v>
      </c>
      <c r="AD382" s="40" t="s">
        <v>4600</v>
      </c>
      <c r="AE382" s="40" t="s">
        <v>4598</v>
      </c>
      <c r="AF382" s="40" t="s">
        <v>37</v>
      </c>
      <c r="AG382" s="744">
        <v>44215</v>
      </c>
      <c r="AH382" s="40"/>
      <c r="AI382" s="31"/>
      <c r="AJ382" s="652"/>
    </row>
    <row r="383" spans="1:36" ht="64.5" x14ac:dyDescent="0.25">
      <c r="A383" s="339"/>
      <c r="B383" s="116"/>
      <c r="C383" s="95"/>
      <c r="D383" s="567"/>
      <c r="E383" s="567"/>
      <c r="F383" s="108"/>
      <c r="G383" s="108"/>
      <c r="H383" s="95"/>
      <c r="I383" s="108"/>
      <c r="J383" s="122"/>
      <c r="K383" s="191"/>
      <c r="L383" s="359"/>
      <c r="M383" s="913"/>
      <c r="N383" s="913"/>
      <c r="O383" s="95"/>
      <c r="P383" s="95"/>
      <c r="Q383" s="359"/>
      <c r="R383" s="98"/>
      <c r="S383" s="42" t="s">
        <v>91</v>
      </c>
      <c r="T383" s="43" t="s">
        <v>4642</v>
      </c>
      <c r="U383" s="24"/>
      <c r="V383" s="24"/>
      <c r="W383" s="24"/>
      <c r="X383" s="24"/>
      <c r="Y383" s="24"/>
      <c r="Z383" s="24"/>
      <c r="AA383" s="24" t="s">
        <v>16</v>
      </c>
      <c r="AB383" s="24" t="s">
        <v>16</v>
      </c>
      <c r="AC383" s="24">
        <v>2</v>
      </c>
      <c r="AD383" s="46" t="s">
        <v>4601</v>
      </c>
      <c r="AE383" s="46" t="s">
        <v>4598</v>
      </c>
      <c r="AF383" s="46" t="s">
        <v>37</v>
      </c>
      <c r="AG383" s="746">
        <v>44215</v>
      </c>
      <c r="AH383" s="46"/>
      <c r="AI383" s="24"/>
      <c r="AJ383" s="1107"/>
    </row>
    <row r="384" spans="1:36" ht="52.5" thickBot="1" x14ac:dyDescent="0.3">
      <c r="A384" s="339"/>
      <c r="B384" s="116"/>
      <c r="C384" s="95"/>
      <c r="D384" s="567"/>
      <c r="E384" s="567"/>
      <c r="F384" s="108"/>
      <c r="G384" s="108"/>
      <c r="H384" s="95"/>
      <c r="I384" s="108"/>
      <c r="J384" s="122"/>
      <c r="K384" s="190"/>
      <c r="L384" s="357"/>
      <c r="M384" s="912"/>
      <c r="N384" s="912"/>
      <c r="O384" s="96"/>
      <c r="P384" s="96"/>
      <c r="Q384" s="357"/>
      <c r="R384" s="100"/>
      <c r="S384" s="48" t="s">
        <v>92</v>
      </c>
      <c r="T384" s="49" t="s">
        <v>4643</v>
      </c>
      <c r="U384" s="25"/>
      <c r="V384" s="25"/>
      <c r="W384" s="25"/>
      <c r="X384" s="25"/>
      <c r="Y384" s="25"/>
      <c r="Z384" s="25"/>
      <c r="AA384" s="25" t="s">
        <v>16</v>
      </c>
      <c r="AB384" s="25" t="s">
        <v>16</v>
      </c>
      <c r="AC384" s="25">
        <v>2</v>
      </c>
      <c r="AD384" s="52" t="s">
        <v>4602</v>
      </c>
      <c r="AE384" s="52" t="s">
        <v>4598</v>
      </c>
      <c r="AF384" s="52" t="s">
        <v>37</v>
      </c>
      <c r="AG384" s="745">
        <v>44215</v>
      </c>
      <c r="AH384" s="52"/>
      <c r="AI384" s="25"/>
      <c r="AJ384" s="653"/>
    </row>
    <row r="385" spans="1:36" ht="39" x14ac:dyDescent="0.25">
      <c r="A385" s="339"/>
      <c r="B385" s="116"/>
      <c r="C385" s="95"/>
      <c r="D385" s="567"/>
      <c r="E385" s="567"/>
      <c r="F385" s="108"/>
      <c r="G385" s="108"/>
      <c r="H385" s="95"/>
      <c r="I385" s="108"/>
      <c r="J385" s="122"/>
      <c r="K385" s="189">
        <v>805</v>
      </c>
      <c r="L385" s="355" t="s">
        <v>1960</v>
      </c>
      <c r="M385" s="911">
        <v>1711026.8470000001</v>
      </c>
      <c r="N385" s="911">
        <v>5668676.4188000001</v>
      </c>
      <c r="O385" s="125" t="s">
        <v>4605</v>
      </c>
      <c r="P385" s="125">
        <v>3</v>
      </c>
      <c r="Q385" s="355" t="s">
        <v>4606</v>
      </c>
      <c r="R385" s="134" t="s">
        <v>16</v>
      </c>
      <c r="S385" s="38" t="s">
        <v>47</v>
      </c>
      <c r="T385" s="39" t="s">
        <v>4644</v>
      </c>
      <c r="U385" s="31"/>
      <c r="V385" s="31"/>
      <c r="W385" s="31"/>
      <c r="X385" s="31"/>
      <c r="Y385" s="31"/>
      <c r="Z385" s="31"/>
      <c r="AA385" s="31" t="s">
        <v>85</v>
      </c>
      <c r="AB385" s="31" t="s">
        <v>16</v>
      </c>
      <c r="AC385" s="31">
        <v>3</v>
      </c>
      <c r="AD385" s="40" t="s">
        <v>4603</v>
      </c>
      <c r="AE385" s="40" t="s">
        <v>5537</v>
      </c>
      <c r="AF385" s="40" t="s">
        <v>37</v>
      </c>
      <c r="AG385" s="744">
        <v>44257</v>
      </c>
      <c r="AH385" s="40"/>
      <c r="AI385" s="31"/>
      <c r="AJ385" s="652"/>
    </row>
    <row r="386" spans="1:36" ht="51.75" x14ac:dyDescent="0.25">
      <c r="A386" s="339"/>
      <c r="B386" s="116"/>
      <c r="C386" s="95"/>
      <c r="D386" s="567"/>
      <c r="E386" s="567"/>
      <c r="F386" s="108"/>
      <c r="G386" s="108"/>
      <c r="H386" s="95"/>
      <c r="I386" s="108"/>
      <c r="J386" s="122"/>
      <c r="K386" s="191"/>
      <c r="L386" s="359"/>
      <c r="M386" s="913"/>
      <c r="N386" s="913"/>
      <c r="O386" s="95"/>
      <c r="P386" s="95"/>
      <c r="Q386" s="359"/>
      <c r="R386" s="98"/>
      <c r="S386" s="42" t="s">
        <v>91</v>
      </c>
      <c r="T386" s="43" t="s">
        <v>4642</v>
      </c>
      <c r="U386" s="24"/>
      <c r="V386" s="24"/>
      <c r="W386" s="24"/>
      <c r="X386" s="24"/>
      <c r="Y386" s="24"/>
      <c r="Z386" s="24"/>
      <c r="AA386" s="24" t="s">
        <v>16</v>
      </c>
      <c r="AB386" s="24" t="s">
        <v>16</v>
      </c>
      <c r="AC386" s="24">
        <v>2</v>
      </c>
      <c r="AD386" s="46" t="s">
        <v>4604</v>
      </c>
      <c r="AE386" s="46" t="s">
        <v>5537</v>
      </c>
      <c r="AF386" s="46" t="s">
        <v>37</v>
      </c>
      <c r="AG386" s="746">
        <v>44257</v>
      </c>
      <c r="AH386" s="46"/>
      <c r="AI386" s="24"/>
      <c r="AJ386" s="1107"/>
    </row>
    <row r="387" spans="1:36" ht="52.5" thickBot="1" x14ac:dyDescent="0.3">
      <c r="A387" s="336"/>
      <c r="B387" s="196"/>
      <c r="C387" s="96"/>
      <c r="D387" s="566"/>
      <c r="E387" s="566"/>
      <c r="F387" s="107"/>
      <c r="G387" s="107"/>
      <c r="H387" s="96"/>
      <c r="I387" s="107"/>
      <c r="J387" s="123"/>
      <c r="K387" s="190"/>
      <c r="L387" s="357"/>
      <c r="M387" s="912"/>
      <c r="N387" s="912"/>
      <c r="O387" s="96"/>
      <c r="P387" s="96"/>
      <c r="Q387" s="357"/>
      <c r="R387" s="100"/>
      <c r="S387" s="48" t="s">
        <v>92</v>
      </c>
      <c r="T387" s="49" t="s">
        <v>4643</v>
      </c>
      <c r="U387" s="25"/>
      <c r="V387" s="25"/>
      <c r="W387" s="25"/>
      <c r="X387" s="25"/>
      <c r="Y387" s="25"/>
      <c r="Z387" s="25"/>
      <c r="AA387" s="25" t="s">
        <v>16</v>
      </c>
      <c r="AB387" s="25" t="s">
        <v>16</v>
      </c>
      <c r="AC387" s="25">
        <v>2</v>
      </c>
      <c r="AD387" s="52" t="s">
        <v>4602</v>
      </c>
      <c r="AE387" s="52" t="s">
        <v>5537</v>
      </c>
      <c r="AF387" s="52" t="s">
        <v>37</v>
      </c>
      <c r="AG387" s="745">
        <v>44257</v>
      </c>
      <c r="AH387" s="52"/>
      <c r="AI387" s="25"/>
      <c r="AJ387" s="653"/>
    </row>
    <row r="388" spans="1:36" ht="90" x14ac:dyDescent="0.25">
      <c r="A388" s="487" t="s">
        <v>6659</v>
      </c>
      <c r="B388" s="128" t="s">
        <v>6659</v>
      </c>
      <c r="C388" s="72">
        <v>226</v>
      </c>
      <c r="D388" s="586" t="s">
        <v>57</v>
      </c>
      <c r="E388" s="586"/>
      <c r="F388" s="129"/>
      <c r="G388" s="129"/>
      <c r="H388" s="72"/>
      <c r="I388" s="129"/>
      <c r="J388" s="128"/>
      <c r="K388" s="187">
        <v>4071</v>
      </c>
      <c r="L388" s="73" t="s">
        <v>6660</v>
      </c>
      <c r="M388" s="914">
        <v>1865548.396256</v>
      </c>
      <c r="N388" s="914">
        <v>5720929.3977570003</v>
      </c>
      <c r="O388" s="72" t="s">
        <v>6661</v>
      </c>
      <c r="P388" s="72">
        <v>3</v>
      </c>
      <c r="Q388" s="73" t="s">
        <v>6662</v>
      </c>
      <c r="R388" s="74" t="s">
        <v>16</v>
      </c>
      <c r="S388" s="656" t="s">
        <v>47</v>
      </c>
      <c r="T388" s="340" t="s">
        <v>6663</v>
      </c>
      <c r="U388" s="31">
        <v>1748</v>
      </c>
      <c r="V388" s="31"/>
      <c r="W388" s="31"/>
      <c r="X388" s="31">
        <v>1688</v>
      </c>
      <c r="Y388" s="31"/>
      <c r="Z388" s="31"/>
      <c r="AA388" s="31" t="s">
        <v>16</v>
      </c>
      <c r="AB388" s="31" t="s">
        <v>10</v>
      </c>
      <c r="AC388" s="31">
        <v>2</v>
      </c>
      <c r="AD388" s="40" t="s">
        <v>6664</v>
      </c>
      <c r="AE388" s="40" t="s">
        <v>7894</v>
      </c>
      <c r="AF388" s="40" t="s">
        <v>6372</v>
      </c>
      <c r="AG388" s="744">
        <v>44260</v>
      </c>
      <c r="AH388" s="40"/>
      <c r="AI388" s="744">
        <v>44326</v>
      </c>
      <c r="AJ388" s="652" t="s">
        <v>37</v>
      </c>
    </row>
    <row r="389" spans="1:36" ht="90" x14ac:dyDescent="0.25">
      <c r="A389" s="488"/>
      <c r="B389" s="486"/>
      <c r="C389" s="407"/>
      <c r="D389" s="572"/>
      <c r="E389" s="572"/>
      <c r="F389" s="541"/>
      <c r="G389" s="541"/>
      <c r="H389" s="407"/>
      <c r="I389" s="541"/>
      <c r="J389" s="486"/>
      <c r="K389" s="188"/>
      <c r="L389" s="76"/>
      <c r="M389" s="915"/>
      <c r="N389" s="915"/>
      <c r="O389" s="75"/>
      <c r="P389" s="75"/>
      <c r="Q389" s="76"/>
      <c r="R389" s="77"/>
      <c r="S389" s="658" t="s">
        <v>91</v>
      </c>
      <c r="T389" s="179" t="s">
        <v>6665</v>
      </c>
      <c r="U389" s="24">
        <v>10075</v>
      </c>
      <c r="V389" s="24">
        <v>9920</v>
      </c>
      <c r="W389" s="24">
        <v>10230</v>
      </c>
      <c r="X389" s="24">
        <v>3410</v>
      </c>
      <c r="Y389" s="24">
        <v>3370</v>
      </c>
      <c r="Z389" s="24">
        <v>3450</v>
      </c>
      <c r="AA389" s="24" t="s">
        <v>16</v>
      </c>
      <c r="AB389" s="24" t="s">
        <v>85</v>
      </c>
      <c r="AC389" s="24">
        <v>3</v>
      </c>
      <c r="AD389" s="46" t="s">
        <v>6666</v>
      </c>
      <c r="AE389" s="46" t="s">
        <v>7894</v>
      </c>
      <c r="AF389" s="46" t="s">
        <v>6372</v>
      </c>
      <c r="AG389" s="746">
        <v>44260</v>
      </c>
      <c r="AH389" s="46"/>
      <c r="AI389" s="746">
        <v>44326</v>
      </c>
      <c r="AJ389" s="1107" t="s">
        <v>37</v>
      </c>
    </row>
    <row r="390" spans="1:36" ht="65.25" thickBot="1" x14ac:dyDescent="0.3">
      <c r="A390" s="488"/>
      <c r="B390" s="486"/>
      <c r="C390" s="407"/>
      <c r="D390" s="572"/>
      <c r="E390" s="572"/>
      <c r="F390" s="541"/>
      <c r="G390" s="541"/>
      <c r="H390" s="407"/>
      <c r="I390" s="541"/>
      <c r="J390" s="486"/>
      <c r="K390" s="192"/>
      <c r="L390" s="79"/>
      <c r="M390" s="916"/>
      <c r="N390" s="916"/>
      <c r="O390" s="78"/>
      <c r="P390" s="78"/>
      <c r="Q390" s="79"/>
      <c r="R390" s="80"/>
      <c r="S390" s="657" t="s">
        <v>92</v>
      </c>
      <c r="T390" s="335" t="s">
        <v>6667</v>
      </c>
      <c r="U390" s="25">
        <v>11410</v>
      </c>
      <c r="V390" s="25">
        <v>11220</v>
      </c>
      <c r="W390" s="25">
        <v>11600</v>
      </c>
      <c r="X390" s="25">
        <v>10075</v>
      </c>
      <c r="Y390" s="25">
        <v>9920</v>
      </c>
      <c r="Z390" s="25">
        <v>10230</v>
      </c>
      <c r="AA390" s="25" t="s">
        <v>16</v>
      </c>
      <c r="AB390" s="25" t="s">
        <v>16</v>
      </c>
      <c r="AC390" s="25">
        <v>2</v>
      </c>
      <c r="AD390" s="52" t="s">
        <v>6668</v>
      </c>
      <c r="AE390" s="52" t="s">
        <v>7894</v>
      </c>
      <c r="AF390" s="52" t="s">
        <v>6372</v>
      </c>
      <c r="AG390" s="745">
        <v>44260</v>
      </c>
      <c r="AH390" s="52"/>
      <c r="AI390" s="745">
        <v>44326</v>
      </c>
      <c r="AJ390" s="653" t="s">
        <v>37</v>
      </c>
    </row>
    <row r="391" spans="1:36" ht="39" x14ac:dyDescent="0.25">
      <c r="A391" s="488"/>
      <c r="B391" s="486"/>
      <c r="C391" s="407"/>
      <c r="D391" s="572"/>
      <c r="E391" s="572"/>
      <c r="F391" s="541"/>
      <c r="G391" s="541"/>
      <c r="H391" s="407"/>
      <c r="I391" s="541"/>
      <c r="J391" s="486"/>
      <c r="K391" s="188">
        <v>4072</v>
      </c>
      <c r="L391" s="547" t="s">
        <v>6669</v>
      </c>
      <c r="M391" s="926">
        <v>1865714.63717</v>
      </c>
      <c r="N391" s="926">
        <v>5720952.9839700004</v>
      </c>
      <c r="O391" s="407" t="s">
        <v>6670</v>
      </c>
      <c r="P391" s="407">
        <v>3</v>
      </c>
      <c r="Q391" s="547" t="s">
        <v>6662</v>
      </c>
      <c r="R391" s="77" t="s">
        <v>85</v>
      </c>
      <c r="S391" s="658" t="s">
        <v>47</v>
      </c>
      <c r="T391" s="337" t="s">
        <v>6671</v>
      </c>
      <c r="V391" s="2">
        <v>1688</v>
      </c>
      <c r="W391" s="2">
        <v>1748</v>
      </c>
      <c r="AA391" s="2" t="s">
        <v>16</v>
      </c>
      <c r="AB391" s="2" t="s">
        <v>10</v>
      </c>
      <c r="AC391" s="2">
        <v>2</v>
      </c>
      <c r="AD391" s="3" t="s">
        <v>6672</v>
      </c>
      <c r="AE391" s="3" t="s">
        <v>7894</v>
      </c>
      <c r="AF391" s="3" t="s">
        <v>6372</v>
      </c>
      <c r="AG391" s="747">
        <v>44260</v>
      </c>
      <c r="AI391" s="747">
        <v>44326</v>
      </c>
      <c r="AJ391" s="1107" t="s">
        <v>37</v>
      </c>
    </row>
    <row r="392" spans="1:36" ht="102.75" x14ac:dyDescent="0.25">
      <c r="A392" s="488"/>
      <c r="B392" s="486"/>
      <c r="C392" s="407"/>
      <c r="D392" s="572"/>
      <c r="E392" s="572"/>
      <c r="F392" s="541"/>
      <c r="G392" s="541"/>
      <c r="H392" s="407"/>
      <c r="I392" s="541"/>
      <c r="J392" s="486"/>
      <c r="K392" s="188"/>
      <c r="L392" s="547"/>
      <c r="M392" s="926"/>
      <c r="N392" s="926"/>
      <c r="O392" s="407"/>
      <c r="P392" s="407"/>
      <c r="Q392" s="547"/>
      <c r="R392" s="77"/>
      <c r="S392" s="658" t="s">
        <v>91</v>
      </c>
      <c r="T392" s="337" t="s">
        <v>6673</v>
      </c>
      <c r="U392" s="2">
        <v>2762</v>
      </c>
      <c r="V392" s="2">
        <v>2742</v>
      </c>
      <c r="W392" s="2">
        <v>2782</v>
      </c>
      <c r="X392" s="2">
        <v>1718</v>
      </c>
      <c r="Y392" s="2">
        <v>1688</v>
      </c>
      <c r="Z392" s="2">
        <v>1748</v>
      </c>
      <c r="AA392" s="2" t="s">
        <v>16</v>
      </c>
      <c r="AB392" s="2" t="s">
        <v>16</v>
      </c>
      <c r="AC392" s="2">
        <v>2</v>
      </c>
      <c r="AD392" s="3" t="s">
        <v>6674</v>
      </c>
      <c r="AE392" s="3" t="s">
        <v>7894</v>
      </c>
      <c r="AF392" s="3" t="s">
        <v>6372</v>
      </c>
      <c r="AG392" s="747">
        <v>44260</v>
      </c>
      <c r="AI392" s="747">
        <v>44326</v>
      </c>
      <c r="AJ392" s="1107" t="s">
        <v>37</v>
      </c>
    </row>
    <row r="393" spans="1:36" ht="90.75" thickBot="1" x14ac:dyDescent="0.3">
      <c r="A393" s="489"/>
      <c r="B393" s="133"/>
      <c r="C393" s="78"/>
      <c r="D393" s="569"/>
      <c r="E393" s="569"/>
      <c r="F393" s="119"/>
      <c r="G393" s="119"/>
      <c r="H393" s="78"/>
      <c r="I393" s="119"/>
      <c r="J393" s="133"/>
      <c r="K393" s="192"/>
      <c r="L393" s="79"/>
      <c r="M393" s="916"/>
      <c r="N393" s="916"/>
      <c r="O393" s="78"/>
      <c r="P393" s="78"/>
      <c r="Q393" s="79"/>
      <c r="R393" s="80"/>
      <c r="S393" s="657" t="s">
        <v>92</v>
      </c>
      <c r="T393" s="335" t="s">
        <v>6665</v>
      </c>
      <c r="U393" s="25">
        <v>10075</v>
      </c>
      <c r="V393" s="25">
        <v>9920</v>
      </c>
      <c r="W393" s="25">
        <v>10230</v>
      </c>
      <c r="X393" s="25">
        <v>3410</v>
      </c>
      <c r="Y393" s="25">
        <v>3370</v>
      </c>
      <c r="Z393" s="25">
        <v>3450</v>
      </c>
      <c r="AA393" s="25" t="s">
        <v>16</v>
      </c>
      <c r="AB393" s="25" t="s">
        <v>16</v>
      </c>
      <c r="AC393" s="25">
        <v>2</v>
      </c>
      <c r="AD393" s="52" t="s">
        <v>6675</v>
      </c>
      <c r="AE393" s="52" t="s">
        <v>7894</v>
      </c>
      <c r="AF393" s="52" t="s">
        <v>6372</v>
      </c>
      <c r="AG393" s="745">
        <v>44260</v>
      </c>
      <c r="AH393" s="52"/>
      <c r="AI393" s="745">
        <v>44326</v>
      </c>
      <c r="AJ393" s="653" t="s">
        <v>37</v>
      </c>
    </row>
    <row r="394" spans="1:36" ht="77.25" x14ac:dyDescent="0.25">
      <c r="A394" s="635" t="s">
        <v>2191</v>
      </c>
      <c r="B394" s="316" t="s">
        <v>2192</v>
      </c>
      <c r="C394" s="254">
        <v>578</v>
      </c>
      <c r="D394" s="316" t="s">
        <v>6844</v>
      </c>
      <c r="E394" s="316"/>
      <c r="F394" s="126" t="s">
        <v>7926</v>
      </c>
      <c r="G394" s="126">
        <v>4</v>
      </c>
      <c r="H394" s="125" t="s">
        <v>10</v>
      </c>
      <c r="I394" s="355" t="s">
        <v>7927</v>
      </c>
      <c r="J394" s="247" t="s">
        <v>4051</v>
      </c>
      <c r="K394" s="189">
        <v>632</v>
      </c>
      <c r="L394" s="355" t="s">
        <v>4045</v>
      </c>
      <c r="M394" s="911">
        <v>1685161.8030000001</v>
      </c>
      <c r="N394" s="911">
        <v>5352978.7949000001</v>
      </c>
      <c r="O394" s="125" t="s">
        <v>41</v>
      </c>
      <c r="P394" s="125">
        <v>4</v>
      </c>
      <c r="Q394" s="355" t="s">
        <v>2156</v>
      </c>
      <c r="R394" s="134" t="s">
        <v>2156</v>
      </c>
      <c r="S394" s="38" t="s">
        <v>47</v>
      </c>
      <c r="T394" s="39" t="s">
        <v>4078</v>
      </c>
      <c r="U394" s="31">
        <f>1950-2016</f>
        <v>-66</v>
      </c>
      <c r="V394" s="31"/>
      <c r="W394" s="31"/>
      <c r="X394" s="31">
        <f>1950-2016</f>
        <v>-66</v>
      </c>
      <c r="Y394" s="31"/>
      <c r="Z394" s="31"/>
      <c r="AA394" s="31" t="s">
        <v>10</v>
      </c>
      <c r="AB394" s="31" t="s">
        <v>10</v>
      </c>
      <c r="AC394" s="31">
        <v>1</v>
      </c>
      <c r="AD394" s="40" t="s">
        <v>4646</v>
      </c>
      <c r="AE394" s="40" t="s">
        <v>4051</v>
      </c>
      <c r="AF394" s="40" t="s">
        <v>37</v>
      </c>
      <c r="AG394" s="744">
        <v>44176</v>
      </c>
      <c r="AH394" s="40"/>
      <c r="AI394" s="31"/>
      <c r="AJ394" s="652"/>
    </row>
    <row r="395" spans="1:36" ht="51.75" x14ac:dyDescent="0.25">
      <c r="A395" s="1042"/>
      <c r="B395" s="346"/>
      <c r="C395" s="258"/>
      <c r="D395" s="346"/>
      <c r="E395" s="346"/>
      <c r="F395" s="108"/>
      <c r="G395" s="108"/>
      <c r="H395" s="95"/>
      <c r="I395" s="108"/>
      <c r="J395" s="122"/>
      <c r="K395" s="191"/>
      <c r="L395" s="359"/>
      <c r="M395" s="913"/>
      <c r="N395" s="913"/>
      <c r="O395" s="95"/>
      <c r="P395" s="95"/>
      <c r="Q395" s="359"/>
      <c r="R395" s="98"/>
      <c r="S395" s="42" t="s">
        <v>91</v>
      </c>
      <c r="T395" s="43" t="s">
        <v>4046</v>
      </c>
      <c r="U395" s="24">
        <v>249</v>
      </c>
      <c r="V395" s="24"/>
      <c r="W395" s="24"/>
      <c r="X395" s="24">
        <v>109</v>
      </c>
      <c r="Y395" s="24"/>
      <c r="Z395" s="24"/>
      <c r="AA395" s="24" t="s">
        <v>10</v>
      </c>
      <c r="AB395" s="24" t="s">
        <v>10</v>
      </c>
      <c r="AC395" s="24">
        <v>1</v>
      </c>
      <c r="AD395" s="46" t="s">
        <v>4049</v>
      </c>
      <c r="AE395" s="46" t="s">
        <v>4051</v>
      </c>
      <c r="AF395" s="46" t="s">
        <v>37</v>
      </c>
      <c r="AG395" s="746">
        <v>44176</v>
      </c>
      <c r="AH395" s="46"/>
      <c r="AI395" s="24"/>
      <c r="AJ395" s="1107"/>
    </row>
    <row r="396" spans="1:36" ht="39" x14ac:dyDescent="0.25">
      <c r="A396" s="339"/>
      <c r="B396" s="116"/>
      <c r="C396" s="95"/>
      <c r="D396" s="567"/>
      <c r="E396" s="567"/>
      <c r="F396" s="108"/>
      <c r="G396" s="108"/>
      <c r="H396" s="95"/>
      <c r="I396" s="108"/>
      <c r="J396" s="122"/>
      <c r="K396" s="191"/>
      <c r="L396" s="359"/>
      <c r="M396" s="913"/>
      <c r="N396" s="913"/>
      <c r="O396" s="95"/>
      <c r="P396" s="95"/>
      <c r="Q396" s="359"/>
      <c r="R396" s="98"/>
      <c r="S396" s="42" t="s">
        <v>92</v>
      </c>
      <c r="T396" s="43" t="s">
        <v>4047</v>
      </c>
      <c r="U396" s="24">
        <v>528</v>
      </c>
      <c r="V396" s="24"/>
      <c r="W396" s="24"/>
      <c r="X396" s="24">
        <v>356</v>
      </c>
      <c r="Y396" s="24"/>
      <c r="Z396" s="24"/>
      <c r="AA396" s="24" t="s">
        <v>10</v>
      </c>
      <c r="AB396" s="24" t="s">
        <v>10</v>
      </c>
      <c r="AC396" s="24">
        <v>1</v>
      </c>
      <c r="AD396" s="46" t="s">
        <v>4050</v>
      </c>
      <c r="AE396" s="46" t="s">
        <v>4051</v>
      </c>
      <c r="AF396" s="46" t="s">
        <v>37</v>
      </c>
      <c r="AG396" s="746">
        <v>44176</v>
      </c>
      <c r="AH396" s="46"/>
      <c r="AI396" s="24"/>
      <c r="AJ396" s="1107"/>
    </row>
    <row r="397" spans="1:36" ht="39.75" thickBot="1" x14ac:dyDescent="0.3">
      <c r="A397" s="339"/>
      <c r="B397" s="116"/>
      <c r="C397" s="95"/>
      <c r="D397" s="567"/>
      <c r="E397" s="567"/>
      <c r="F397" s="108"/>
      <c r="G397" s="108"/>
      <c r="H397" s="95"/>
      <c r="I397" s="108"/>
      <c r="J397" s="122"/>
      <c r="K397" s="190"/>
      <c r="L397" s="357"/>
      <c r="M397" s="912"/>
      <c r="N397" s="912"/>
      <c r="O397" s="96"/>
      <c r="P397" s="96"/>
      <c r="Q397" s="357"/>
      <c r="R397" s="100"/>
      <c r="S397" s="48" t="s">
        <v>99</v>
      </c>
      <c r="T397" s="49" t="s">
        <v>4048</v>
      </c>
      <c r="U397" s="25">
        <v>1630</v>
      </c>
      <c r="V397" s="25"/>
      <c r="W397" s="25"/>
      <c r="X397" s="25">
        <v>778</v>
      </c>
      <c r="Y397" s="25"/>
      <c r="Z397" s="25"/>
      <c r="AA397" s="25" t="s">
        <v>10</v>
      </c>
      <c r="AB397" s="25" t="s">
        <v>10</v>
      </c>
      <c r="AC397" s="25">
        <v>1</v>
      </c>
      <c r="AD397" s="52" t="s">
        <v>4050</v>
      </c>
      <c r="AE397" s="52" t="s">
        <v>4051</v>
      </c>
      <c r="AF397" s="52" t="s">
        <v>37</v>
      </c>
      <c r="AG397" s="745">
        <v>44176</v>
      </c>
      <c r="AH397" s="52"/>
      <c r="AI397" s="25"/>
      <c r="AJ397" s="653"/>
    </row>
    <row r="398" spans="1:36" ht="102.75" x14ac:dyDescent="0.25">
      <c r="A398" s="339"/>
      <c r="B398" s="116"/>
      <c r="C398" s="95"/>
      <c r="D398" s="567"/>
      <c r="E398" s="567"/>
      <c r="F398" s="108"/>
      <c r="G398" s="108"/>
      <c r="H398" s="95"/>
      <c r="I398" s="108"/>
      <c r="J398" s="122"/>
      <c r="K398" s="189">
        <v>633</v>
      </c>
      <c r="L398" s="355" t="s">
        <v>4052</v>
      </c>
      <c r="M398" s="911">
        <v>1684455.5264999999</v>
      </c>
      <c r="N398" s="911">
        <v>5352676.9961999999</v>
      </c>
      <c r="O398" s="125" t="s">
        <v>41</v>
      </c>
      <c r="P398" s="125">
        <v>2</v>
      </c>
      <c r="Q398" s="355" t="s">
        <v>2156</v>
      </c>
      <c r="R398" s="134" t="s">
        <v>2156</v>
      </c>
      <c r="S398" s="38" t="s">
        <v>47</v>
      </c>
      <c r="T398" s="39" t="s">
        <v>4053</v>
      </c>
      <c r="U398" s="31">
        <v>905</v>
      </c>
      <c r="V398" s="31"/>
      <c r="W398" s="31"/>
      <c r="X398" s="31">
        <v>113</v>
      </c>
      <c r="Y398" s="31"/>
      <c r="Z398" s="31"/>
      <c r="AA398" s="31" t="s">
        <v>16</v>
      </c>
      <c r="AB398" s="31" t="s">
        <v>10</v>
      </c>
      <c r="AC398" s="31">
        <v>2</v>
      </c>
      <c r="AD398" s="40" t="s">
        <v>4079</v>
      </c>
      <c r="AE398" s="40" t="s">
        <v>4051</v>
      </c>
      <c r="AF398" s="40" t="s">
        <v>37</v>
      </c>
      <c r="AG398" s="744">
        <v>44176</v>
      </c>
      <c r="AH398" s="40"/>
      <c r="AI398" s="31"/>
      <c r="AJ398" s="652"/>
    </row>
    <row r="399" spans="1:36" ht="65.25" thickBot="1" x14ac:dyDescent="0.3">
      <c r="A399" s="339"/>
      <c r="B399" s="116"/>
      <c r="C399" s="95"/>
      <c r="D399" s="567"/>
      <c r="E399" s="567"/>
      <c r="F399" s="108"/>
      <c r="G399" s="108"/>
      <c r="H399" s="95"/>
      <c r="I399" s="108"/>
      <c r="J399" s="122"/>
      <c r="K399" s="191"/>
      <c r="L399" s="359"/>
      <c r="M399" s="913"/>
      <c r="N399" s="913"/>
      <c r="O399" s="95"/>
      <c r="P399" s="95"/>
      <c r="Q399" s="359"/>
      <c r="R399" s="98"/>
      <c r="S399" s="42" t="s">
        <v>91</v>
      </c>
      <c r="T399" s="43" t="s">
        <v>4054</v>
      </c>
      <c r="U399" s="24">
        <v>3456</v>
      </c>
      <c r="V399" s="24"/>
      <c r="W399" s="24"/>
      <c r="X399" s="24">
        <v>955</v>
      </c>
      <c r="Y399" s="24"/>
      <c r="Z399" s="24"/>
      <c r="AA399" s="24" t="s">
        <v>16</v>
      </c>
      <c r="AB399" s="24" t="s">
        <v>10</v>
      </c>
      <c r="AC399" s="24">
        <v>2</v>
      </c>
      <c r="AD399" s="46" t="s">
        <v>4080</v>
      </c>
      <c r="AE399" s="46" t="s">
        <v>4051</v>
      </c>
      <c r="AF399" s="46" t="s">
        <v>37</v>
      </c>
      <c r="AG399" s="746">
        <v>44176</v>
      </c>
      <c r="AH399" s="46"/>
      <c r="AI399" s="24"/>
      <c r="AJ399" s="1107"/>
    </row>
    <row r="400" spans="1:36" ht="26.25" x14ac:dyDescent="0.25">
      <c r="A400" s="339"/>
      <c r="B400" s="116"/>
      <c r="C400" s="95"/>
      <c r="D400" s="567"/>
      <c r="E400" s="567"/>
      <c r="F400" s="108"/>
      <c r="G400" s="108"/>
      <c r="H400" s="95"/>
      <c r="I400" s="108"/>
      <c r="J400" s="122"/>
      <c r="K400" s="189">
        <v>634</v>
      </c>
      <c r="L400" s="355" t="s">
        <v>4055</v>
      </c>
      <c r="M400" s="911">
        <v>1684393.87</v>
      </c>
      <c r="N400" s="911">
        <v>5352672.22</v>
      </c>
      <c r="O400" s="125" t="s">
        <v>41</v>
      </c>
      <c r="P400" s="125">
        <v>2</v>
      </c>
      <c r="Q400" s="355" t="s">
        <v>2156</v>
      </c>
      <c r="R400" s="134" t="s">
        <v>2156</v>
      </c>
      <c r="S400" s="38" t="s">
        <v>47</v>
      </c>
      <c r="T400" s="39" t="s">
        <v>4078</v>
      </c>
      <c r="U400" s="31">
        <f>1950-2016</f>
        <v>-66</v>
      </c>
      <c r="V400" s="31"/>
      <c r="W400" s="31"/>
      <c r="X400" s="31"/>
      <c r="Y400" s="31"/>
      <c r="Z400" s="31"/>
      <c r="AA400" s="31" t="s">
        <v>10</v>
      </c>
      <c r="AB400" s="31" t="s">
        <v>10</v>
      </c>
      <c r="AC400" s="31">
        <v>1</v>
      </c>
      <c r="AD400" s="40" t="s">
        <v>4646</v>
      </c>
      <c r="AE400" s="40" t="s">
        <v>4051</v>
      </c>
      <c r="AF400" s="40" t="s">
        <v>37</v>
      </c>
      <c r="AG400" s="744">
        <v>44176</v>
      </c>
      <c r="AH400" s="40"/>
      <c r="AI400" s="31"/>
      <c r="AJ400" s="652"/>
    </row>
    <row r="401" spans="1:36" ht="39.75" thickBot="1" x14ac:dyDescent="0.3">
      <c r="A401" s="339"/>
      <c r="B401" s="116"/>
      <c r="C401" s="95"/>
      <c r="D401" s="567"/>
      <c r="E401" s="567"/>
      <c r="F401" s="108"/>
      <c r="G401" s="108"/>
      <c r="H401" s="95"/>
      <c r="I401" s="108"/>
      <c r="J401" s="122"/>
      <c r="K401" s="190"/>
      <c r="L401" s="357"/>
      <c r="M401" s="912"/>
      <c r="N401" s="912"/>
      <c r="O401" s="96"/>
      <c r="P401" s="96"/>
      <c r="Q401" s="357"/>
      <c r="R401" s="100"/>
      <c r="S401" s="48" t="s">
        <v>91</v>
      </c>
      <c r="T401" s="49" t="s">
        <v>4056</v>
      </c>
      <c r="U401" s="25">
        <v>1250</v>
      </c>
      <c r="V401" s="25"/>
      <c r="W401" s="25"/>
      <c r="X401" s="25">
        <v>903</v>
      </c>
      <c r="Y401" s="25"/>
      <c r="Z401" s="25"/>
      <c r="AA401" s="25" t="s">
        <v>10</v>
      </c>
      <c r="AB401" s="25" t="s">
        <v>10</v>
      </c>
      <c r="AC401" s="25">
        <v>1</v>
      </c>
      <c r="AD401" s="52" t="s">
        <v>4050</v>
      </c>
      <c r="AE401" s="52" t="s">
        <v>4051</v>
      </c>
      <c r="AF401" s="52" t="s">
        <v>37</v>
      </c>
      <c r="AG401" s="745">
        <v>44176</v>
      </c>
      <c r="AH401" s="52"/>
      <c r="AI401" s="25"/>
      <c r="AJ401" s="653"/>
    </row>
    <row r="402" spans="1:36" ht="39" x14ac:dyDescent="0.25">
      <c r="A402" s="339"/>
      <c r="B402" s="116"/>
      <c r="C402" s="95"/>
      <c r="D402" s="567"/>
      <c r="E402" s="567"/>
      <c r="F402" s="108"/>
      <c r="G402" s="108"/>
      <c r="H402" s="95"/>
      <c r="I402" s="108"/>
      <c r="J402" s="122"/>
      <c r="K402" s="191" t="s">
        <v>2156</v>
      </c>
      <c r="L402" s="359" t="s">
        <v>4057</v>
      </c>
      <c r="M402" s="913" t="s">
        <v>2156</v>
      </c>
      <c r="N402" s="913" t="s">
        <v>2156</v>
      </c>
      <c r="O402" s="95" t="s">
        <v>4060</v>
      </c>
      <c r="P402" s="95">
        <v>4</v>
      </c>
      <c r="Q402" s="359" t="s">
        <v>4061</v>
      </c>
      <c r="R402" s="98" t="s">
        <v>10</v>
      </c>
      <c r="S402" s="42" t="s">
        <v>47</v>
      </c>
      <c r="T402" s="39" t="s">
        <v>4078</v>
      </c>
      <c r="U402" s="31">
        <f>1950-2016</f>
        <v>-66</v>
      </c>
      <c r="V402" s="31"/>
      <c r="W402" s="31"/>
      <c r="X402" s="31"/>
      <c r="Y402" s="31"/>
      <c r="Z402" s="31"/>
      <c r="AA402" s="31" t="s">
        <v>10</v>
      </c>
      <c r="AB402" s="31" t="s">
        <v>10</v>
      </c>
      <c r="AC402" s="31">
        <v>1</v>
      </c>
      <c r="AD402" s="40" t="s">
        <v>7883</v>
      </c>
      <c r="AE402" s="40" t="s">
        <v>4051</v>
      </c>
      <c r="AF402" s="40" t="s">
        <v>37</v>
      </c>
      <c r="AG402" s="744">
        <v>44176</v>
      </c>
      <c r="AH402" s="46"/>
      <c r="AI402" s="24"/>
      <c r="AJ402" s="1107"/>
    </row>
    <row r="403" spans="1:36" x14ac:dyDescent="0.25">
      <c r="A403" s="339"/>
      <c r="B403" s="116"/>
      <c r="C403" s="95"/>
      <c r="D403" s="567"/>
      <c r="E403" s="567"/>
      <c r="F403" s="108"/>
      <c r="G403" s="108"/>
      <c r="H403" s="95"/>
      <c r="I403" s="108"/>
      <c r="J403" s="122"/>
      <c r="K403" s="191"/>
      <c r="L403" s="359"/>
      <c r="M403" s="913"/>
      <c r="N403" s="913"/>
      <c r="O403" s="95"/>
      <c r="P403" s="95"/>
      <c r="Q403" s="359"/>
      <c r="R403" s="98"/>
      <c r="S403" s="42" t="s">
        <v>91</v>
      </c>
      <c r="T403" s="43" t="s">
        <v>4046</v>
      </c>
      <c r="U403" s="24">
        <v>249</v>
      </c>
      <c r="V403" s="24"/>
      <c r="W403" s="24"/>
      <c r="X403" s="24">
        <v>109</v>
      </c>
      <c r="Y403" s="24"/>
      <c r="Z403" s="24"/>
      <c r="AA403" s="24" t="s">
        <v>10</v>
      </c>
      <c r="AB403" s="24" t="s">
        <v>10</v>
      </c>
      <c r="AC403" s="24">
        <v>1</v>
      </c>
      <c r="AD403" s="46" t="s">
        <v>3946</v>
      </c>
      <c r="AE403" s="46" t="s">
        <v>4051</v>
      </c>
      <c r="AF403" s="46" t="s">
        <v>37</v>
      </c>
      <c r="AG403" s="746">
        <v>44176</v>
      </c>
      <c r="AH403" s="46"/>
      <c r="AI403" s="24"/>
      <c r="AJ403" s="1107"/>
    </row>
    <row r="404" spans="1:36" x14ac:dyDescent="0.25">
      <c r="A404" s="339"/>
      <c r="B404" s="116"/>
      <c r="C404" s="95"/>
      <c r="D404" s="567"/>
      <c r="E404" s="567"/>
      <c r="F404" s="108"/>
      <c r="G404" s="108"/>
      <c r="H404" s="95"/>
      <c r="I404" s="108"/>
      <c r="J404" s="122"/>
      <c r="K404" s="191"/>
      <c r="L404" s="359"/>
      <c r="M404" s="913"/>
      <c r="N404" s="913"/>
      <c r="O404" s="95"/>
      <c r="P404" s="95"/>
      <c r="Q404" s="359"/>
      <c r="R404" s="98"/>
      <c r="S404" s="7" t="s">
        <v>92</v>
      </c>
      <c r="T404" s="43" t="s">
        <v>4047</v>
      </c>
      <c r="U404" s="24">
        <v>528</v>
      </c>
      <c r="V404" s="24"/>
      <c r="W404" s="24"/>
      <c r="X404" s="24">
        <v>356</v>
      </c>
      <c r="Y404" s="24"/>
      <c r="Z404" s="24"/>
      <c r="AA404" s="24" t="s">
        <v>10</v>
      </c>
      <c r="AB404" s="24" t="s">
        <v>10</v>
      </c>
      <c r="AC404" s="24">
        <v>1</v>
      </c>
      <c r="AD404" s="46" t="s">
        <v>3946</v>
      </c>
      <c r="AE404" s="46" t="s">
        <v>4051</v>
      </c>
      <c r="AF404" s="46" t="s">
        <v>37</v>
      </c>
      <c r="AG404" s="746">
        <v>44176</v>
      </c>
      <c r="AH404" s="46"/>
      <c r="AI404" s="24"/>
      <c r="AJ404" s="1107"/>
    </row>
    <row r="405" spans="1:36" ht="15.75" thickBot="1" x14ac:dyDescent="0.3">
      <c r="A405" s="336"/>
      <c r="B405" s="196"/>
      <c r="C405" s="96"/>
      <c r="D405" s="566"/>
      <c r="E405" s="566"/>
      <c r="F405" s="107"/>
      <c r="G405" s="107"/>
      <c r="H405" s="96"/>
      <c r="I405" s="107"/>
      <c r="J405" s="123"/>
      <c r="K405" s="190"/>
      <c r="L405" s="357"/>
      <c r="M405" s="912"/>
      <c r="N405" s="912"/>
      <c r="O405" s="96"/>
      <c r="P405" s="96"/>
      <c r="Q405" s="357"/>
      <c r="R405" s="100"/>
      <c r="S405" s="48" t="s">
        <v>99</v>
      </c>
      <c r="T405" s="49" t="s">
        <v>4058</v>
      </c>
      <c r="U405" s="25">
        <v>1249</v>
      </c>
      <c r="V405" s="25"/>
      <c r="W405" s="25"/>
      <c r="X405" s="25">
        <v>902</v>
      </c>
      <c r="Y405" s="25"/>
      <c r="Z405" s="25"/>
      <c r="AA405" s="25" t="s">
        <v>10</v>
      </c>
      <c r="AB405" s="25" t="s">
        <v>10</v>
      </c>
      <c r="AC405" s="25">
        <v>1</v>
      </c>
      <c r="AD405" s="52" t="s">
        <v>4059</v>
      </c>
      <c r="AE405" s="52" t="s">
        <v>4051</v>
      </c>
      <c r="AF405" s="52" t="s">
        <v>37</v>
      </c>
      <c r="AG405" s="745">
        <v>44176</v>
      </c>
      <c r="AH405" s="52"/>
      <c r="AI405" s="25"/>
      <c r="AJ405" s="653"/>
    </row>
    <row r="406" spans="1:36" ht="39" x14ac:dyDescent="0.25">
      <c r="A406" s="807" t="s">
        <v>1303</v>
      </c>
      <c r="B406" s="349" t="s">
        <v>7666</v>
      </c>
      <c r="C406" s="157">
        <v>8</v>
      </c>
      <c r="D406" s="592" t="s">
        <v>57</v>
      </c>
      <c r="E406" s="592" t="s">
        <v>53</v>
      </c>
      <c r="F406" s="159"/>
      <c r="G406" s="159"/>
      <c r="H406" s="157"/>
      <c r="I406" s="159"/>
      <c r="J406" s="450"/>
      <c r="K406" s="193">
        <v>815</v>
      </c>
      <c r="L406" s="433" t="s">
        <v>4672</v>
      </c>
      <c r="M406" s="924">
        <v>1832178.2995</v>
      </c>
      <c r="N406" s="924">
        <v>5853204.4753</v>
      </c>
      <c r="O406" s="157" t="s">
        <v>4677</v>
      </c>
      <c r="P406" s="157">
        <v>2</v>
      </c>
      <c r="Q406" s="433" t="s">
        <v>4678</v>
      </c>
      <c r="R406" s="160" t="s">
        <v>85</v>
      </c>
      <c r="S406" s="38" t="s">
        <v>47</v>
      </c>
      <c r="T406" s="39" t="s">
        <v>4673</v>
      </c>
      <c r="U406" s="31"/>
      <c r="V406" s="31">
        <v>5741</v>
      </c>
      <c r="W406" s="31">
        <v>5982</v>
      </c>
      <c r="X406" s="31"/>
      <c r="Y406" s="31">
        <v>1713</v>
      </c>
      <c r="Z406" s="31">
        <v>1723</v>
      </c>
      <c r="AA406" s="31" t="s">
        <v>16</v>
      </c>
      <c r="AB406" s="31" t="s">
        <v>10</v>
      </c>
      <c r="AC406" s="31">
        <v>2</v>
      </c>
      <c r="AD406" s="40" t="s">
        <v>4676</v>
      </c>
      <c r="AE406" s="40" t="s">
        <v>1322</v>
      </c>
      <c r="AF406" s="40" t="s">
        <v>37</v>
      </c>
      <c r="AG406" s="744">
        <v>44216</v>
      </c>
      <c r="AH406" s="40"/>
      <c r="AI406" s="31"/>
      <c r="AJ406" s="652"/>
    </row>
    <row r="407" spans="1:36" ht="78" thickBot="1" x14ac:dyDescent="0.3">
      <c r="A407" s="809"/>
      <c r="B407" s="174"/>
      <c r="C407" s="165"/>
      <c r="D407" s="574"/>
      <c r="E407" s="574"/>
      <c r="F407" s="167"/>
      <c r="G407" s="167"/>
      <c r="H407" s="165"/>
      <c r="I407" s="167"/>
      <c r="J407" s="424"/>
      <c r="K407" s="195"/>
      <c r="L407" s="435"/>
      <c r="M407" s="925"/>
      <c r="N407" s="925"/>
      <c r="O407" s="165"/>
      <c r="P407" s="165"/>
      <c r="Q407" s="435"/>
      <c r="R407" s="168"/>
      <c r="S407" s="48" t="s">
        <v>91</v>
      </c>
      <c r="T407" s="49" t="s">
        <v>4674</v>
      </c>
      <c r="U407" s="25"/>
      <c r="V407" s="25">
        <v>18898</v>
      </c>
      <c r="W407" s="25">
        <v>19251</v>
      </c>
      <c r="X407" s="25"/>
      <c r="Y407" s="25">
        <v>13767</v>
      </c>
      <c r="Z407" s="25">
        <v>14047</v>
      </c>
      <c r="AA407" s="25" t="s">
        <v>16</v>
      </c>
      <c r="AB407" s="25" t="s">
        <v>16</v>
      </c>
      <c r="AC407" s="25">
        <v>2</v>
      </c>
      <c r="AD407" s="52" t="s">
        <v>4675</v>
      </c>
      <c r="AE407" s="52" t="s">
        <v>1322</v>
      </c>
      <c r="AF407" s="52" t="s">
        <v>37</v>
      </c>
      <c r="AG407" s="745">
        <v>44216</v>
      </c>
      <c r="AH407" s="52"/>
      <c r="AI407" s="25"/>
      <c r="AJ407" s="653"/>
    </row>
    <row r="408" spans="1:36" ht="51.75" x14ac:dyDescent="0.25">
      <c r="A408" s="487" t="s">
        <v>1303</v>
      </c>
      <c r="B408" s="128" t="s">
        <v>6811</v>
      </c>
      <c r="C408" s="72">
        <v>14</v>
      </c>
      <c r="D408" s="586" t="s">
        <v>57</v>
      </c>
      <c r="E408" s="586" t="s">
        <v>53</v>
      </c>
      <c r="F408" s="129"/>
      <c r="G408" s="129"/>
      <c r="H408" s="72"/>
      <c r="I408" s="129"/>
      <c r="J408" s="381"/>
      <c r="K408" s="187">
        <v>811</v>
      </c>
      <c r="L408" s="73" t="s">
        <v>4640</v>
      </c>
      <c r="M408" s="914">
        <v>1848182.1998999999</v>
      </c>
      <c r="N408" s="914">
        <v>5808247.5193999996</v>
      </c>
      <c r="O408" s="72" t="s">
        <v>41</v>
      </c>
      <c r="P408" s="72">
        <v>1</v>
      </c>
      <c r="Q408" s="73" t="s">
        <v>2156</v>
      </c>
      <c r="R408" s="74" t="s">
        <v>2156</v>
      </c>
      <c r="S408" s="38" t="s">
        <v>47</v>
      </c>
      <c r="T408" s="39" t="s">
        <v>4645</v>
      </c>
      <c r="U408" s="31"/>
      <c r="V408" s="31">
        <v>320</v>
      </c>
      <c r="W408" s="31">
        <v>540</v>
      </c>
      <c r="X408" s="31"/>
      <c r="Y408" s="31"/>
      <c r="Z408" s="31"/>
      <c r="AA408" s="31" t="s">
        <v>85</v>
      </c>
      <c r="AB408" s="31" t="s">
        <v>16</v>
      </c>
      <c r="AC408" s="31">
        <v>3</v>
      </c>
      <c r="AD408" s="40" t="s">
        <v>4648</v>
      </c>
      <c r="AE408" s="40" t="s">
        <v>4719</v>
      </c>
      <c r="AF408" s="40" t="s">
        <v>37</v>
      </c>
      <c r="AG408" s="744">
        <v>44216</v>
      </c>
      <c r="AH408" s="40"/>
      <c r="AI408" s="31"/>
      <c r="AJ408" s="652"/>
    </row>
    <row r="409" spans="1:36" ht="103.5" thickBot="1" x14ac:dyDescent="0.3">
      <c r="A409" s="488"/>
      <c r="B409" s="131"/>
      <c r="C409" s="75"/>
      <c r="D409" s="568"/>
      <c r="E409" s="568"/>
      <c r="F409" s="118"/>
      <c r="G409" s="118"/>
      <c r="H409" s="75"/>
      <c r="I409" s="118"/>
      <c r="J409" s="121"/>
      <c r="K409" s="192"/>
      <c r="L409" s="79"/>
      <c r="M409" s="916"/>
      <c r="N409" s="916"/>
      <c r="O409" s="78"/>
      <c r="P409" s="78"/>
      <c r="Q409" s="79"/>
      <c r="R409" s="80"/>
      <c r="S409" s="48" t="s">
        <v>91</v>
      </c>
      <c r="T409" s="49" t="s">
        <v>4647</v>
      </c>
      <c r="U409" s="25"/>
      <c r="V409" s="25"/>
      <c r="W409" s="25"/>
      <c r="X409" s="25"/>
      <c r="Y409" s="25">
        <v>16947</v>
      </c>
      <c r="Z409" s="25">
        <v>16381</v>
      </c>
      <c r="AA409" s="25" t="s">
        <v>85</v>
      </c>
      <c r="AB409" s="25" t="s">
        <v>16</v>
      </c>
      <c r="AC409" s="25">
        <v>3</v>
      </c>
      <c r="AD409" s="52" t="s">
        <v>4649</v>
      </c>
      <c r="AE409" s="52" t="s">
        <v>4719</v>
      </c>
      <c r="AF409" s="52" t="s">
        <v>37</v>
      </c>
      <c r="AG409" s="745">
        <v>44216</v>
      </c>
      <c r="AH409" s="52"/>
      <c r="AI409" s="25"/>
      <c r="AJ409" s="653"/>
    </row>
    <row r="410" spans="1:36" ht="65.25" thickBot="1" x14ac:dyDescent="0.3">
      <c r="A410" s="489"/>
      <c r="B410" s="133"/>
      <c r="C410" s="78"/>
      <c r="D410" s="569"/>
      <c r="E410" s="569"/>
      <c r="F410" s="119"/>
      <c r="G410" s="119"/>
      <c r="H410" s="78"/>
      <c r="I410" s="119"/>
      <c r="J410" s="429"/>
      <c r="K410" s="87">
        <v>812</v>
      </c>
      <c r="L410" s="360" t="s">
        <v>4650</v>
      </c>
      <c r="M410" s="198">
        <v>1848053.4606000001</v>
      </c>
      <c r="N410" s="198">
        <v>5808499.6316</v>
      </c>
      <c r="O410" s="83" t="s">
        <v>4654</v>
      </c>
      <c r="P410" s="83">
        <v>3</v>
      </c>
      <c r="Q410" s="360" t="s">
        <v>4663</v>
      </c>
      <c r="R410" s="88" t="s">
        <v>85</v>
      </c>
      <c r="S410" s="514" t="s">
        <v>4651</v>
      </c>
      <c r="T410" s="243" t="s">
        <v>4652</v>
      </c>
      <c r="U410" s="86"/>
      <c r="V410" s="86">
        <v>18</v>
      </c>
      <c r="W410" s="86">
        <v>20</v>
      </c>
      <c r="X410" s="86"/>
      <c r="Y410" s="86"/>
      <c r="Z410" s="86"/>
      <c r="AA410" s="86" t="s">
        <v>85</v>
      </c>
      <c r="AB410" s="86" t="s">
        <v>16</v>
      </c>
      <c r="AC410" s="86">
        <v>3</v>
      </c>
      <c r="AD410" s="92" t="s">
        <v>4653</v>
      </c>
      <c r="AE410" s="92" t="s">
        <v>1322</v>
      </c>
      <c r="AF410" s="92" t="s">
        <v>37</v>
      </c>
      <c r="AG410" s="743">
        <v>44216</v>
      </c>
      <c r="AH410" s="92"/>
      <c r="AI410" s="86"/>
      <c r="AJ410" s="1108"/>
    </row>
    <row r="411" spans="1:36" ht="51.75" x14ac:dyDescent="0.25">
      <c r="A411" s="341" t="s">
        <v>1303</v>
      </c>
      <c r="B411" s="181" t="s">
        <v>6814</v>
      </c>
      <c r="C411" s="125">
        <v>13</v>
      </c>
      <c r="D411" s="585" t="s">
        <v>57</v>
      </c>
      <c r="E411" s="585" t="s">
        <v>53</v>
      </c>
      <c r="F411" s="126"/>
      <c r="G411" s="126"/>
      <c r="H411" s="125"/>
      <c r="I411" s="126"/>
      <c r="J411" s="247"/>
      <c r="K411" s="189">
        <v>813</v>
      </c>
      <c r="L411" s="355" t="s">
        <v>4655</v>
      </c>
      <c r="M411" s="911">
        <v>1843989.7679999999</v>
      </c>
      <c r="N411" s="911">
        <v>5826782.1529999999</v>
      </c>
      <c r="O411" s="125" t="s">
        <v>4662</v>
      </c>
      <c r="P411" s="145" t="s">
        <v>4668</v>
      </c>
      <c r="Q411" s="355" t="s">
        <v>4669</v>
      </c>
      <c r="R411" s="134" t="s">
        <v>16</v>
      </c>
      <c r="S411" s="38" t="s">
        <v>47</v>
      </c>
      <c r="T411" s="39" t="s">
        <v>4657</v>
      </c>
      <c r="U411" s="31">
        <v>719</v>
      </c>
      <c r="V411" s="31"/>
      <c r="W411" s="31"/>
      <c r="X411" s="31">
        <v>500</v>
      </c>
      <c r="Y411" s="31"/>
      <c r="Z411" s="31"/>
      <c r="AA411" s="31" t="s">
        <v>85</v>
      </c>
      <c r="AB411" s="31" t="s">
        <v>16</v>
      </c>
      <c r="AC411" s="31">
        <v>3</v>
      </c>
      <c r="AD411" s="40" t="s">
        <v>4659</v>
      </c>
      <c r="AE411" s="40" t="s">
        <v>4719</v>
      </c>
      <c r="AF411" s="40" t="s">
        <v>37</v>
      </c>
      <c r="AG411" s="744">
        <v>44216</v>
      </c>
      <c r="AH411" s="40"/>
      <c r="AI411" s="31"/>
      <c r="AJ411" s="652"/>
    </row>
    <row r="412" spans="1:36" ht="51.75" x14ac:dyDescent="0.25">
      <c r="A412" s="339"/>
      <c r="B412" s="116"/>
      <c r="C412" s="95"/>
      <c r="D412" s="567"/>
      <c r="E412" s="567"/>
      <c r="F412" s="108"/>
      <c r="G412" s="108"/>
      <c r="H412" s="95"/>
      <c r="I412" s="108"/>
      <c r="J412" s="122"/>
      <c r="K412" s="191"/>
      <c r="L412" s="359"/>
      <c r="M412" s="913"/>
      <c r="N412" s="913"/>
      <c r="O412" s="95"/>
      <c r="P412" s="146"/>
      <c r="Q412" s="359"/>
      <c r="R412" s="98"/>
      <c r="S412" s="42" t="s">
        <v>91</v>
      </c>
      <c r="T412" s="43" t="s">
        <v>4656</v>
      </c>
      <c r="U412" s="24"/>
      <c r="V412" s="24">
        <v>7439</v>
      </c>
      <c r="W412" s="24">
        <v>7655</v>
      </c>
      <c r="X412" s="24"/>
      <c r="Y412" s="24">
        <v>5068</v>
      </c>
      <c r="Z412" s="24">
        <v>5736</v>
      </c>
      <c r="AA412" s="24" t="s">
        <v>16</v>
      </c>
      <c r="AB412" s="24" t="s">
        <v>10</v>
      </c>
      <c r="AC412" s="24">
        <v>2</v>
      </c>
      <c r="AD412" s="46" t="s">
        <v>4660</v>
      </c>
      <c r="AE412" s="46" t="s">
        <v>4719</v>
      </c>
      <c r="AF412" s="46" t="s">
        <v>37</v>
      </c>
      <c r="AG412" s="746">
        <v>44216</v>
      </c>
      <c r="AH412" s="46"/>
      <c r="AI412" s="24"/>
      <c r="AJ412" s="1107"/>
    </row>
    <row r="413" spans="1:36" ht="39.75" thickBot="1" x14ac:dyDescent="0.3">
      <c r="A413" s="339"/>
      <c r="B413" s="116"/>
      <c r="C413" s="95"/>
      <c r="D413" s="567"/>
      <c r="E413" s="567"/>
      <c r="F413" s="108"/>
      <c r="G413" s="108"/>
      <c r="H413" s="95"/>
      <c r="I413" s="108"/>
      <c r="J413" s="122"/>
      <c r="K413" s="190"/>
      <c r="L413" s="357"/>
      <c r="M413" s="912"/>
      <c r="N413" s="912"/>
      <c r="O413" s="96"/>
      <c r="P413" s="147"/>
      <c r="Q413" s="357"/>
      <c r="R413" s="100"/>
      <c r="S413" s="48" t="s">
        <v>92</v>
      </c>
      <c r="T413" s="49" t="s">
        <v>4658</v>
      </c>
      <c r="U413" s="25">
        <v>20000</v>
      </c>
      <c r="V413" s="25">
        <v>17500</v>
      </c>
      <c r="W413" s="25">
        <v>22500</v>
      </c>
      <c r="X413" s="25"/>
      <c r="Y413" s="25">
        <v>7439</v>
      </c>
      <c r="Z413" s="25">
        <v>7655</v>
      </c>
      <c r="AA413" s="25" t="s">
        <v>16</v>
      </c>
      <c r="AB413" s="25" t="s">
        <v>16</v>
      </c>
      <c r="AC413" s="25">
        <v>2</v>
      </c>
      <c r="AD413" s="52" t="s">
        <v>4661</v>
      </c>
      <c r="AE413" s="52" t="s">
        <v>4719</v>
      </c>
      <c r="AF413" s="52" t="s">
        <v>37</v>
      </c>
      <c r="AG413" s="745">
        <v>44216</v>
      </c>
      <c r="AH413" s="52"/>
      <c r="AI413" s="25"/>
      <c r="AJ413" s="653"/>
    </row>
    <row r="414" spans="1:36" ht="52.5" thickBot="1" x14ac:dyDescent="0.3">
      <c r="A414" s="336"/>
      <c r="B414" s="196"/>
      <c r="C414" s="96"/>
      <c r="D414" s="566"/>
      <c r="E414" s="566"/>
      <c r="F414" s="107"/>
      <c r="G414" s="107"/>
      <c r="H414" s="96"/>
      <c r="I414" s="107"/>
      <c r="J414" s="123"/>
      <c r="K414" s="89">
        <v>814</v>
      </c>
      <c r="L414" s="396" t="s">
        <v>4664</v>
      </c>
      <c r="M414" s="265">
        <v>1832340.1301</v>
      </c>
      <c r="N414" s="265">
        <v>5842302.0138999997</v>
      </c>
      <c r="O414" s="84" t="s">
        <v>4667</v>
      </c>
      <c r="P414" s="149" t="s">
        <v>1316</v>
      </c>
      <c r="Q414" s="396" t="s">
        <v>4670</v>
      </c>
      <c r="R414" s="90" t="s">
        <v>85</v>
      </c>
      <c r="S414" s="428" t="s">
        <v>47</v>
      </c>
      <c r="T414" s="243" t="s">
        <v>4665</v>
      </c>
      <c r="U414" s="86">
        <v>6740</v>
      </c>
      <c r="V414" s="86"/>
      <c r="W414" s="86"/>
      <c r="X414" s="86">
        <v>6495</v>
      </c>
      <c r="Y414" s="86"/>
      <c r="Z414" s="86"/>
      <c r="AA414" s="86" t="s">
        <v>85</v>
      </c>
      <c r="AB414" s="86" t="s">
        <v>85</v>
      </c>
      <c r="AC414" s="86">
        <v>3</v>
      </c>
      <c r="AD414" s="92" t="s">
        <v>4666</v>
      </c>
      <c r="AE414" s="92" t="s">
        <v>1322</v>
      </c>
      <c r="AF414" s="92" t="s">
        <v>37</v>
      </c>
      <c r="AG414" s="743">
        <v>44216</v>
      </c>
      <c r="AH414" s="92"/>
      <c r="AI414" s="86"/>
      <c r="AJ414" s="1108"/>
    </row>
    <row r="415" spans="1:36" ht="39" x14ac:dyDescent="0.25">
      <c r="A415" s="487" t="s">
        <v>1852</v>
      </c>
      <c r="B415" s="128" t="s">
        <v>1852</v>
      </c>
      <c r="C415" s="72">
        <v>33</v>
      </c>
      <c r="D415" s="586" t="s">
        <v>57</v>
      </c>
      <c r="E415" s="586"/>
      <c r="F415" s="129"/>
      <c r="G415" s="129"/>
      <c r="H415" s="72"/>
      <c r="I415" s="129"/>
      <c r="J415" s="381"/>
      <c r="K415" s="187">
        <v>798</v>
      </c>
      <c r="L415" s="73" t="s">
        <v>1859</v>
      </c>
      <c r="M415" s="914">
        <v>1674662.7790000001</v>
      </c>
      <c r="N415" s="914">
        <v>5640962.0389</v>
      </c>
      <c r="O415" s="72">
        <v>2600</v>
      </c>
      <c r="P415" s="72">
        <v>3</v>
      </c>
      <c r="Q415" s="73" t="s">
        <v>4579</v>
      </c>
      <c r="R415" s="74" t="s">
        <v>16</v>
      </c>
      <c r="S415" s="38" t="s">
        <v>47</v>
      </c>
      <c r="T415" s="39" t="s">
        <v>4576</v>
      </c>
      <c r="U415" s="151"/>
      <c r="V415" s="151">
        <v>3063</v>
      </c>
      <c r="W415" s="151">
        <v>3321</v>
      </c>
      <c r="X415" s="151"/>
      <c r="Y415" s="151">
        <v>152</v>
      </c>
      <c r="Z415" s="151">
        <v>315</v>
      </c>
      <c r="AA415" s="151" t="s">
        <v>16</v>
      </c>
      <c r="AB415" s="151" t="s">
        <v>16</v>
      </c>
      <c r="AC415" s="151">
        <v>2</v>
      </c>
      <c r="AD415" s="152" t="s">
        <v>4575</v>
      </c>
      <c r="AE415" s="152" t="s">
        <v>1868</v>
      </c>
      <c r="AF415" s="152" t="s">
        <v>37</v>
      </c>
      <c r="AG415" s="749">
        <v>44215</v>
      </c>
      <c r="AH415" s="152"/>
      <c r="AI415" s="151"/>
      <c r="AJ415" s="1112"/>
    </row>
    <row r="416" spans="1:36" ht="39" x14ac:dyDescent="0.25">
      <c r="A416" s="488"/>
      <c r="B416" s="131"/>
      <c r="C416" s="75"/>
      <c r="D416" s="568"/>
      <c r="E416" s="568"/>
      <c r="F416" s="118"/>
      <c r="G416" s="118"/>
      <c r="H416" s="75"/>
      <c r="I416" s="118"/>
      <c r="J416" s="121"/>
      <c r="K416" s="188"/>
      <c r="L416" s="76"/>
      <c r="M416" s="915"/>
      <c r="N416" s="915"/>
      <c r="O416" s="75"/>
      <c r="P416" s="75"/>
      <c r="Q416" s="76"/>
      <c r="R416" s="77"/>
      <c r="S416" s="42" t="s">
        <v>91</v>
      </c>
      <c r="T416" s="43" t="s">
        <v>4577</v>
      </c>
      <c r="U416" s="136"/>
      <c r="V416" s="136">
        <v>4446</v>
      </c>
      <c r="W416" s="136">
        <v>4811</v>
      </c>
      <c r="X416" s="136"/>
      <c r="Y416" s="136">
        <v>3063</v>
      </c>
      <c r="Z416" s="136">
        <v>3321</v>
      </c>
      <c r="AA416" s="136" t="s">
        <v>16</v>
      </c>
      <c r="AB416" s="136" t="s">
        <v>16</v>
      </c>
      <c r="AC416" s="136">
        <v>2</v>
      </c>
      <c r="AD416" s="137" t="s">
        <v>4575</v>
      </c>
      <c r="AE416" s="137" t="s">
        <v>1868</v>
      </c>
      <c r="AF416" s="137" t="s">
        <v>37</v>
      </c>
      <c r="AG416" s="755">
        <v>44215</v>
      </c>
      <c r="AH416" s="137"/>
      <c r="AI416" s="136"/>
      <c r="AJ416" s="1110"/>
    </row>
    <row r="417" spans="1:36" ht="39.75" thickBot="1" x14ac:dyDescent="0.3">
      <c r="A417" s="489"/>
      <c r="B417" s="133"/>
      <c r="C417" s="78"/>
      <c r="D417" s="569"/>
      <c r="E417" s="569"/>
      <c r="F417" s="119"/>
      <c r="G417" s="119"/>
      <c r="H417" s="78"/>
      <c r="I417" s="119"/>
      <c r="J417" s="429"/>
      <c r="K417" s="192"/>
      <c r="L417" s="79"/>
      <c r="M417" s="916"/>
      <c r="N417" s="916"/>
      <c r="O417" s="78"/>
      <c r="P417" s="78"/>
      <c r="Q417" s="79"/>
      <c r="R417" s="80"/>
      <c r="S417" s="48" t="s">
        <v>92</v>
      </c>
      <c r="T417" s="49" t="s">
        <v>4578</v>
      </c>
      <c r="U417" s="154"/>
      <c r="V417" s="154">
        <v>5315</v>
      </c>
      <c r="W417" s="154">
        <v>5574</v>
      </c>
      <c r="X417" s="154"/>
      <c r="Y417" s="154">
        <v>4446</v>
      </c>
      <c r="Z417" s="154">
        <v>4811</v>
      </c>
      <c r="AA417" s="154" t="s">
        <v>16</v>
      </c>
      <c r="AB417" s="154" t="s">
        <v>16</v>
      </c>
      <c r="AC417" s="154">
        <v>2</v>
      </c>
      <c r="AD417" s="155" t="s">
        <v>4575</v>
      </c>
      <c r="AE417" s="155" t="s">
        <v>1868</v>
      </c>
      <c r="AF417" s="155" t="s">
        <v>37</v>
      </c>
      <c r="AG417" s="750">
        <v>44215</v>
      </c>
      <c r="AH417" s="155"/>
      <c r="AI417" s="154"/>
      <c r="AJ417" s="1111"/>
    </row>
    <row r="418" spans="1:36" ht="102.75" x14ac:dyDescent="0.25">
      <c r="A418" s="341" t="s">
        <v>6570</v>
      </c>
      <c r="B418" s="181" t="s">
        <v>1994</v>
      </c>
      <c r="C418" s="125">
        <v>713</v>
      </c>
      <c r="D418" s="585" t="s">
        <v>52</v>
      </c>
      <c r="E418" s="585" t="s">
        <v>53</v>
      </c>
      <c r="F418" s="126"/>
      <c r="G418" s="126"/>
      <c r="H418" s="125"/>
      <c r="I418" s="126"/>
      <c r="J418" s="247"/>
      <c r="K418" s="189">
        <v>4042</v>
      </c>
      <c r="L418" s="355" t="s">
        <v>6563</v>
      </c>
      <c r="M418" s="911">
        <v>1406238.5596400001</v>
      </c>
      <c r="N418" s="911">
        <v>5056363.7643320002</v>
      </c>
      <c r="O418" s="125" t="s">
        <v>6564</v>
      </c>
      <c r="P418" s="125">
        <v>2</v>
      </c>
      <c r="Q418" s="355" t="s">
        <v>6565</v>
      </c>
      <c r="R418" s="134" t="s">
        <v>85</v>
      </c>
      <c r="S418" s="38" t="s">
        <v>47</v>
      </c>
      <c r="T418" s="39" t="s">
        <v>6566</v>
      </c>
      <c r="U418" s="151">
        <v>12900</v>
      </c>
      <c r="V418" s="151">
        <v>11900</v>
      </c>
      <c r="W418" s="151">
        <v>13900</v>
      </c>
      <c r="X418" s="151">
        <v>20500</v>
      </c>
      <c r="Y418" s="151">
        <v>19000</v>
      </c>
      <c r="Z418" s="151">
        <v>22000</v>
      </c>
      <c r="AA418" s="151" t="s">
        <v>16</v>
      </c>
      <c r="AB418" s="151" t="s">
        <v>10</v>
      </c>
      <c r="AC418" s="151">
        <v>2</v>
      </c>
      <c r="AD418" s="152" t="s">
        <v>6567</v>
      </c>
      <c r="AE418" s="152" t="s">
        <v>2008</v>
      </c>
      <c r="AF418" s="152" t="s">
        <v>6372</v>
      </c>
      <c r="AG418" s="749">
        <v>44251</v>
      </c>
      <c r="AH418" s="152"/>
      <c r="AI418" s="749">
        <v>44326</v>
      </c>
      <c r="AJ418" s="1112" t="s">
        <v>37</v>
      </c>
    </row>
    <row r="419" spans="1:36" ht="78" thickBot="1" x14ac:dyDescent="0.3">
      <c r="A419" s="336"/>
      <c r="B419" s="196"/>
      <c r="C419" s="96"/>
      <c r="D419" s="566"/>
      <c r="E419" s="566"/>
      <c r="F419" s="107"/>
      <c r="G419" s="107"/>
      <c r="H419" s="96"/>
      <c r="I419" s="107"/>
      <c r="J419" s="123"/>
      <c r="K419" s="190"/>
      <c r="L419" s="357"/>
      <c r="M419" s="912"/>
      <c r="N419" s="912"/>
      <c r="O419" s="96"/>
      <c r="P419" s="96"/>
      <c r="Q419" s="357"/>
      <c r="R419" s="100"/>
      <c r="S419" s="48" t="s">
        <v>91</v>
      </c>
      <c r="T419" s="49" t="s">
        <v>6568</v>
      </c>
      <c r="U419" s="154">
        <v>19400</v>
      </c>
      <c r="V419" s="154">
        <v>17800</v>
      </c>
      <c r="W419" s="154">
        <v>21000</v>
      </c>
      <c r="X419" s="154">
        <v>71400</v>
      </c>
      <c r="Y419" s="154">
        <v>65300</v>
      </c>
      <c r="Z419" s="154">
        <v>65300</v>
      </c>
      <c r="AA419" s="154" t="s">
        <v>16</v>
      </c>
      <c r="AB419" s="154" t="s">
        <v>10</v>
      </c>
      <c r="AC419" s="154">
        <v>2</v>
      </c>
      <c r="AD419" s="155" t="s">
        <v>6569</v>
      </c>
      <c r="AE419" s="155" t="s">
        <v>2008</v>
      </c>
      <c r="AF419" s="155" t="s">
        <v>6372</v>
      </c>
      <c r="AG419" s="750">
        <v>44251</v>
      </c>
      <c r="AH419" s="155"/>
      <c r="AI419" s="750">
        <v>44326</v>
      </c>
      <c r="AJ419" s="1111" t="s">
        <v>37</v>
      </c>
    </row>
    <row r="420" spans="1:36" ht="26.25" x14ac:dyDescent="0.25">
      <c r="A420" s="487" t="s">
        <v>2101</v>
      </c>
      <c r="B420" s="128" t="s">
        <v>2101</v>
      </c>
      <c r="C420" s="72">
        <v>674</v>
      </c>
      <c r="D420" s="586" t="s">
        <v>52</v>
      </c>
      <c r="E420" s="586" t="s">
        <v>53</v>
      </c>
      <c r="F420" s="129"/>
      <c r="G420" s="129"/>
      <c r="H420" s="72"/>
      <c r="I420" s="129"/>
      <c r="J420" s="381"/>
      <c r="K420" s="187">
        <v>829</v>
      </c>
      <c r="L420" s="73" t="s">
        <v>2102</v>
      </c>
      <c r="M420" s="914">
        <v>1539989.8918999999</v>
      </c>
      <c r="N420" s="914">
        <v>5228531.5482999999</v>
      </c>
      <c r="O420" s="72" t="s">
        <v>41</v>
      </c>
      <c r="P420" s="72">
        <v>2</v>
      </c>
      <c r="Q420" s="73" t="s">
        <v>2156</v>
      </c>
      <c r="R420" s="74" t="s">
        <v>2156</v>
      </c>
      <c r="S420" s="38" t="s">
        <v>47</v>
      </c>
      <c r="T420" s="39" t="s">
        <v>4769</v>
      </c>
      <c r="U420" s="151">
        <v>21600</v>
      </c>
      <c r="V420" s="151">
        <f>21600-2300</f>
        <v>19300</v>
      </c>
      <c r="W420" s="151">
        <f>21600+2300</f>
        <v>23900</v>
      </c>
      <c r="X420" s="151">
        <v>13600</v>
      </c>
      <c r="Y420" s="31">
        <f>13600-1100</f>
        <v>12500</v>
      </c>
      <c r="Z420" s="151">
        <f>13600+1100</f>
        <v>14700</v>
      </c>
      <c r="AA420" s="151" t="s">
        <v>16</v>
      </c>
      <c r="AB420" s="151" t="s">
        <v>10</v>
      </c>
      <c r="AC420" s="151">
        <v>2</v>
      </c>
      <c r="AD420" s="152" t="s">
        <v>4770</v>
      </c>
      <c r="AE420" s="152" t="s">
        <v>2106</v>
      </c>
      <c r="AF420" s="152" t="s">
        <v>37</v>
      </c>
      <c r="AG420" s="749">
        <v>44228</v>
      </c>
      <c r="AH420" s="152"/>
      <c r="AI420" s="151"/>
      <c r="AJ420" s="1112"/>
    </row>
    <row r="421" spans="1:36" ht="27" thickBot="1" x14ac:dyDescent="0.3">
      <c r="A421" s="489"/>
      <c r="B421" s="133"/>
      <c r="C421" s="78"/>
      <c r="D421" s="569"/>
      <c r="E421" s="569"/>
      <c r="F421" s="119"/>
      <c r="G421" s="119"/>
      <c r="H421" s="78"/>
      <c r="I421" s="119"/>
      <c r="J421" s="429"/>
      <c r="K421" s="192"/>
      <c r="L421" s="79"/>
      <c r="M421" s="916"/>
      <c r="N421" s="916"/>
      <c r="O421" s="78"/>
      <c r="P421" s="78"/>
      <c r="Q421" s="79"/>
      <c r="R421" s="80"/>
      <c r="S421" s="48" t="s">
        <v>91</v>
      </c>
      <c r="T421" s="49" t="s">
        <v>4769</v>
      </c>
      <c r="U421" s="154">
        <v>21600</v>
      </c>
      <c r="V421" s="154">
        <f>21600-2300</f>
        <v>19300</v>
      </c>
      <c r="W421" s="154">
        <f>21600+2300</f>
        <v>23900</v>
      </c>
      <c r="X421" s="154">
        <v>13600</v>
      </c>
      <c r="Y421" s="25">
        <f>13600-1100</f>
        <v>12500</v>
      </c>
      <c r="Z421" s="154">
        <f>13600+1100</f>
        <v>14700</v>
      </c>
      <c r="AA421" s="154" t="s">
        <v>16</v>
      </c>
      <c r="AB421" s="154" t="s">
        <v>10</v>
      </c>
      <c r="AC421" s="154">
        <v>2</v>
      </c>
      <c r="AD421" s="155" t="s">
        <v>4770</v>
      </c>
      <c r="AE421" s="155" t="s">
        <v>2106</v>
      </c>
      <c r="AF421" s="155" t="s">
        <v>37</v>
      </c>
      <c r="AG421" s="750">
        <v>44228</v>
      </c>
      <c r="AH421" s="155"/>
      <c r="AI421" s="154"/>
      <c r="AJ421" s="1111"/>
    </row>
    <row r="422" spans="1:36" ht="64.5" x14ac:dyDescent="0.25">
      <c r="A422" s="807" t="s">
        <v>1158</v>
      </c>
      <c r="B422" s="349" t="s">
        <v>1158</v>
      </c>
      <c r="C422" s="157">
        <v>210</v>
      </c>
      <c r="D422" s="592" t="s">
        <v>57</v>
      </c>
      <c r="E422" s="592"/>
      <c r="F422" s="159"/>
      <c r="G422" s="159"/>
      <c r="H422" s="157"/>
      <c r="I422" s="159"/>
      <c r="J422" s="450"/>
      <c r="K422" s="193">
        <v>4040</v>
      </c>
      <c r="L422" s="433" t="s">
        <v>6548</v>
      </c>
      <c r="M422" s="924">
        <v>1882420.1379130001</v>
      </c>
      <c r="N422" s="924">
        <v>5756132.914469</v>
      </c>
      <c r="O422" s="157" t="s">
        <v>41</v>
      </c>
      <c r="P422" s="157">
        <v>7</v>
      </c>
      <c r="Q422" s="433" t="s">
        <v>2156</v>
      </c>
      <c r="R422" s="157" t="s">
        <v>2156</v>
      </c>
      <c r="S422" s="656" t="s">
        <v>47</v>
      </c>
      <c r="T422" s="340" t="s">
        <v>6549</v>
      </c>
      <c r="U422" s="31">
        <v>1700</v>
      </c>
      <c r="V422" s="31">
        <v>1600</v>
      </c>
      <c r="W422" s="31">
        <v>1800</v>
      </c>
      <c r="X422" s="31">
        <v>100</v>
      </c>
      <c r="Y422" s="31"/>
      <c r="Z422" s="31"/>
      <c r="AA422" s="31" t="s">
        <v>16</v>
      </c>
      <c r="AB422" s="31" t="s">
        <v>10</v>
      </c>
      <c r="AC422" s="31">
        <v>2</v>
      </c>
      <c r="AD422" s="40" t="s">
        <v>6550</v>
      </c>
      <c r="AE422" s="40" t="s">
        <v>6551</v>
      </c>
      <c r="AF422" s="40" t="s">
        <v>6372</v>
      </c>
      <c r="AG422" s="744">
        <v>44251</v>
      </c>
      <c r="AH422" s="40"/>
      <c r="AI422" s="744">
        <v>44326</v>
      </c>
      <c r="AJ422" s="652" t="s">
        <v>37</v>
      </c>
    </row>
    <row r="423" spans="1:36" ht="64.5" x14ac:dyDescent="0.25">
      <c r="A423" s="808"/>
      <c r="B423" s="474"/>
      <c r="C423" s="436"/>
      <c r="D423" s="576"/>
      <c r="E423" s="576"/>
      <c r="F423" s="583"/>
      <c r="G423" s="583"/>
      <c r="H423" s="436"/>
      <c r="I423" s="583"/>
      <c r="J423" s="423"/>
      <c r="K423" s="194"/>
      <c r="L423" s="475"/>
      <c r="M423" s="937"/>
      <c r="N423" s="937"/>
      <c r="O423" s="436"/>
      <c r="P423" s="436"/>
      <c r="Q423" s="475"/>
      <c r="R423" s="436"/>
      <c r="S423" s="658" t="s">
        <v>91</v>
      </c>
      <c r="T423" s="337" t="s">
        <v>6552</v>
      </c>
      <c r="U423" s="2">
        <v>5500</v>
      </c>
      <c r="X423" s="2">
        <v>1700</v>
      </c>
      <c r="Y423" s="2">
        <v>1600</v>
      </c>
      <c r="Z423" s="2">
        <v>1800</v>
      </c>
      <c r="AA423" s="2" t="s">
        <v>16</v>
      </c>
      <c r="AB423" s="2" t="s">
        <v>10</v>
      </c>
      <c r="AC423" s="2">
        <v>2</v>
      </c>
      <c r="AD423" s="3" t="s">
        <v>6553</v>
      </c>
      <c r="AE423" s="3" t="s">
        <v>6551</v>
      </c>
      <c r="AF423" s="3" t="s">
        <v>6372</v>
      </c>
      <c r="AG423" s="747">
        <v>44251</v>
      </c>
      <c r="AI423" s="747">
        <v>44326</v>
      </c>
      <c r="AJ423" s="1107" t="s">
        <v>37</v>
      </c>
    </row>
    <row r="424" spans="1:36" ht="64.5" x14ac:dyDescent="0.25">
      <c r="A424" s="808"/>
      <c r="B424" s="474"/>
      <c r="C424" s="436"/>
      <c r="D424" s="576"/>
      <c r="E424" s="576"/>
      <c r="F424" s="583"/>
      <c r="G424" s="583"/>
      <c r="H424" s="436"/>
      <c r="I424" s="583"/>
      <c r="J424" s="423"/>
      <c r="K424" s="194"/>
      <c r="L424" s="475"/>
      <c r="M424" s="937"/>
      <c r="N424" s="937"/>
      <c r="O424" s="436"/>
      <c r="P424" s="436"/>
      <c r="Q424" s="475"/>
      <c r="R424" s="436"/>
      <c r="S424" s="658" t="s">
        <v>92</v>
      </c>
      <c r="T424" s="337" t="s">
        <v>6554</v>
      </c>
      <c r="U424" s="2">
        <v>9500</v>
      </c>
      <c r="V424" s="2">
        <v>9400</v>
      </c>
      <c r="W424" s="2">
        <v>9600</v>
      </c>
      <c r="X424" s="2">
        <v>5500</v>
      </c>
      <c r="AA424" s="2" t="s">
        <v>16</v>
      </c>
      <c r="AB424" s="2" t="s">
        <v>10</v>
      </c>
      <c r="AC424" s="2">
        <v>2</v>
      </c>
      <c r="AD424" s="3" t="s">
        <v>6555</v>
      </c>
      <c r="AE424" s="3" t="s">
        <v>6551</v>
      </c>
      <c r="AF424" s="3" t="s">
        <v>6372</v>
      </c>
      <c r="AG424" s="747">
        <v>44251</v>
      </c>
      <c r="AI424" s="747">
        <v>44326</v>
      </c>
      <c r="AJ424" s="1107" t="s">
        <v>37</v>
      </c>
    </row>
    <row r="425" spans="1:36" ht="51.75" x14ac:dyDescent="0.25">
      <c r="A425" s="808"/>
      <c r="B425" s="474"/>
      <c r="C425" s="436"/>
      <c r="D425" s="576"/>
      <c r="E425" s="576"/>
      <c r="F425" s="583"/>
      <c r="G425" s="583"/>
      <c r="H425" s="436"/>
      <c r="I425" s="583"/>
      <c r="J425" s="423"/>
      <c r="K425" s="194"/>
      <c r="L425" s="475"/>
      <c r="M425" s="937"/>
      <c r="N425" s="937"/>
      <c r="O425" s="436"/>
      <c r="P425" s="436"/>
      <c r="Q425" s="475"/>
      <c r="R425" s="436"/>
      <c r="S425" s="658" t="s">
        <v>99</v>
      </c>
      <c r="T425" s="337" t="s">
        <v>6556</v>
      </c>
      <c r="U425" s="2">
        <v>15400</v>
      </c>
      <c r="V425" s="2">
        <v>12400</v>
      </c>
      <c r="W425" s="2">
        <v>18400</v>
      </c>
      <c r="X425" s="2">
        <v>9500</v>
      </c>
      <c r="Y425" s="2">
        <v>9400</v>
      </c>
      <c r="Z425" s="2">
        <v>9600</v>
      </c>
      <c r="AA425" s="2" t="s">
        <v>16</v>
      </c>
      <c r="AB425" s="2" t="s">
        <v>10</v>
      </c>
      <c r="AC425" s="2">
        <v>2</v>
      </c>
      <c r="AD425" s="3" t="s">
        <v>6557</v>
      </c>
      <c r="AE425" s="3" t="s">
        <v>6551</v>
      </c>
      <c r="AF425" s="3" t="s">
        <v>6372</v>
      </c>
      <c r="AG425" s="747">
        <v>44251</v>
      </c>
      <c r="AI425" s="747">
        <v>44326</v>
      </c>
      <c r="AJ425" s="1107" t="s">
        <v>37</v>
      </c>
    </row>
    <row r="426" spans="1:36" ht="64.5" x14ac:dyDescent="0.25">
      <c r="A426" s="808"/>
      <c r="B426" s="474"/>
      <c r="C426" s="436"/>
      <c r="D426" s="576"/>
      <c r="E426" s="576"/>
      <c r="F426" s="583"/>
      <c r="G426" s="583"/>
      <c r="H426" s="436"/>
      <c r="I426" s="583"/>
      <c r="J426" s="423"/>
      <c r="K426" s="194"/>
      <c r="L426" s="475"/>
      <c r="M426" s="937"/>
      <c r="N426" s="937"/>
      <c r="O426" s="436"/>
      <c r="P426" s="436"/>
      <c r="Q426" s="475"/>
      <c r="R426" s="436"/>
      <c r="S426" s="658" t="s">
        <v>100</v>
      </c>
      <c r="T426" s="337" t="s">
        <v>6558</v>
      </c>
      <c r="U426" s="2">
        <v>21800</v>
      </c>
      <c r="X426" s="2">
        <v>15400</v>
      </c>
      <c r="Y426" s="2">
        <v>12400</v>
      </c>
      <c r="Z426" s="2">
        <v>18400</v>
      </c>
      <c r="AA426" s="2" t="s">
        <v>16</v>
      </c>
      <c r="AB426" s="2" t="s">
        <v>10</v>
      </c>
      <c r="AC426" s="2">
        <v>2</v>
      </c>
      <c r="AD426" s="3" t="s">
        <v>6559</v>
      </c>
      <c r="AE426" s="3" t="s">
        <v>6551</v>
      </c>
      <c r="AF426" s="3" t="s">
        <v>6372</v>
      </c>
      <c r="AG426" s="747">
        <v>44251</v>
      </c>
      <c r="AI426" s="747">
        <v>44326</v>
      </c>
      <c r="AJ426" s="1107" t="s">
        <v>37</v>
      </c>
    </row>
    <row r="427" spans="1:36" ht="115.5" x14ac:dyDescent="0.25">
      <c r="A427" s="808"/>
      <c r="B427" s="474"/>
      <c r="C427" s="436"/>
      <c r="D427" s="576"/>
      <c r="E427" s="576"/>
      <c r="F427" s="583"/>
      <c r="G427" s="583"/>
      <c r="H427" s="436"/>
      <c r="I427" s="583"/>
      <c r="J427" s="423"/>
      <c r="K427" s="194"/>
      <c r="L427" s="475"/>
      <c r="M427" s="937"/>
      <c r="N427" s="937"/>
      <c r="O427" s="436"/>
      <c r="P427" s="436"/>
      <c r="Q427" s="475"/>
      <c r="R427" s="436"/>
      <c r="S427" s="658" t="s">
        <v>101</v>
      </c>
      <c r="T427" s="337" t="s">
        <v>6558</v>
      </c>
      <c r="U427" s="2">
        <v>21800</v>
      </c>
      <c r="X427" s="2">
        <v>15400</v>
      </c>
      <c r="Y427" s="2">
        <v>12400</v>
      </c>
      <c r="Z427" s="2">
        <v>18400</v>
      </c>
      <c r="AA427" s="2" t="s">
        <v>16</v>
      </c>
      <c r="AB427" s="2" t="s">
        <v>10</v>
      </c>
      <c r="AC427" s="2">
        <v>2</v>
      </c>
      <c r="AD427" s="3" t="s">
        <v>6560</v>
      </c>
      <c r="AE427" s="3" t="s">
        <v>6551</v>
      </c>
      <c r="AF427" s="3" t="s">
        <v>6372</v>
      </c>
      <c r="AG427" s="747">
        <v>44251</v>
      </c>
      <c r="AI427" s="747">
        <v>44326</v>
      </c>
      <c r="AJ427" s="1107" t="s">
        <v>37</v>
      </c>
    </row>
    <row r="428" spans="1:36" ht="52.5" thickBot="1" x14ac:dyDescent="0.3">
      <c r="A428" s="809"/>
      <c r="B428" s="174"/>
      <c r="C428" s="165"/>
      <c r="D428" s="574"/>
      <c r="E428" s="574"/>
      <c r="F428" s="167"/>
      <c r="G428" s="167"/>
      <c r="H428" s="165"/>
      <c r="I428" s="167"/>
      <c r="J428" s="424"/>
      <c r="K428" s="195"/>
      <c r="L428" s="435"/>
      <c r="M428" s="925"/>
      <c r="N428" s="925"/>
      <c r="O428" s="165"/>
      <c r="P428" s="165"/>
      <c r="Q428" s="435"/>
      <c r="R428" s="165"/>
      <c r="S428" s="657" t="s">
        <v>102</v>
      </c>
      <c r="T428" s="335" t="s">
        <v>6561</v>
      </c>
      <c r="U428" s="25">
        <v>25200</v>
      </c>
      <c r="V428" s="25"/>
      <c r="W428" s="25"/>
      <c r="X428" s="25">
        <v>23600</v>
      </c>
      <c r="Y428" s="25"/>
      <c r="Z428" s="25"/>
      <c r="AA428" s="25" t="s">
        <v>16</v>
      </c>
      <c r="AB428" s="25" t="s">
        <v>10</v>
      </c>
      <c r="AC428" s="25">
        <v>2</v>
      </c>
      <c r="AD428" s="52" t="s">
        <v>6562</v>
      </c>
      <c r="AE428" s="52" t="s">
        <v>6551</v>
      </c>
      <c r="AF428" s="52" t="s">
        <v>6372</v>
      </c>
      <c r="AG428" s="745">
        <v>44251</v>
      </c>
      <c r="AH428" s="52"/>
      <c r="AI428" s="745">
        <v>44326</v>
      </c>
      <c r="AJ428" s="653" t="s">
        <v>37</v>
      </c>
    </row>
    <row r="429" spans="1:36" ht="26.25" x14ac:dyDescent="0.25">
      <c r="A429" s="341" t="s">
        <v>5946</v>
      </c>
      <c r="B429" s="181" t="s">
        <v>5946</v>
      </c>
      <c r="C429" s="125">
        <v>188</v>
      </c>
      <c r="D429" s="585" t="s">
        <v>57</v>
      </c>
      <c r="E429" s="585"/>
      <c r="F429" s="126"/>
      <c r="G429" s="126"/>
      <c r="H429" s="125"/>
      <c r="I429" s="126"/>
      <c r="J429" s="247"/>
      <c r="K429" s="189">
        <v>965</v>
      </c>
      <c r="L429" s="355" t="s">
        <v>6777</v>
      </c>
      <c r="M429" s="911">
        <v>1919338.7027</v>
      </c>
      <c r="N429" s="911">
        <v>5788314.7865000004</v>
      </c>
      <c r="O429" s="125" t="s">
        <v>41</v>
      </c>
      <c r="P429" s="125">
        <v>8</v>
      </c>
      <c r="Q429" s="355" t="s">
        <v>2156</v>
      </c>
      <c r="R429" s="134" t="s">
        <v>2156</v>
      </c>
      <c r="S429" s="38" t="s">
        <v>47</v>
      </c>
      <c r="T429" s="39" t="s">
        <v>7005</v>
      </c>
      <c r="U429" s="151">
        <v>5600</v>
      </c>
      <c r="V429" s="151"/>
      <c r="W429" s="151"/>
      <c r="X429" s="151">
        <v>700</v>
      </c>
      <c r="Y429" s="151"/>
      <c r="Z429" s="151"/>
      <c r="AA429" s="151" t="s">
        <v>16</v>
      </c>
      <c r="AB429" s="151" t="s">
        <v>10</v>
      </c>
      <c r="AC429" s="151">
        <v>2</v>
      </c>
      <c r="AD429" s="152" t="s">
        <v>7006</v>
      </c>
      <c r="AE429" s="152" t="s">
        <v>7007</v>
      </c>
      <c r="AF429" s="152" t="s">
        <v>37</v>
      </c>
      <c r="AG429" s="749">
        <v>44347</v>
      </c>
      <c r="AH429" s="152"/>
      <c r="AI429" s="151"/>
      <c r="AJ429" s="1112"/>
    </row>
    <row r="430" spans="1:36" ht="64.5" x14ac:dyDescent="0.25">
      <c r="A430" s="339"/>
      <c r="B430" s="116"/>
      <c r="C430" s="95"/>
      <c r="D430" s="567"/>
      <c r="E430" s="567"/>
      <c r="F430" s="108"/>
      <c r="G430" s="108"/>
      <c r="H430" s="95"/>
      <c r="I430" s="108"/>
      <c r="J430" s="122"/>
      <c r="K430" s="191"/>
      <c r="L430" s="359"/>
      <c r="M430" s="913"/>
      <c r="N430" s="913"/>
      <c r="O430" s="95"/>
      <c r="P430" s="95"/>
      <c r="Q430" s="359"/>
      <c r="R430" s="98"/>
      <c r="S430" s="42" t="s">
        <v>91</v>
      </c>
      <c r="T430" s="715" t="s">
        <v>7008</v>
      </c>
      <c r="U430" s="136">
        <v>5600</v>
      </c>
      <c r="V430" s="136"/>
      <c r="W430" s="136"/>
      <c r="X430" s="136"/>
      <c r="Y430" s="136"/>
      <c r="Z430" s="136"/>
      <c r="AA430" s="136" t="s">
        <v>16</v>
      </c>
      <c r="AB430" s="136" t="s">
        <v>10</v>
      </c>
      <c r="AC430" s="136">
        <v>2</v>
      </c>
      <c r="AD430" s="137" t="s">
        <v>7009</v>
      </c>
      <c r="AE430" s="137" t="s">
        <v>7007</v>
      </c>
      <c r="AF430" s="137" t="s">
        <v>37</v>
      </c>
      <c r="AG430" s="755">
        <v>44347</v>
      </c>
      <c r="AH430" s="137"/>
      <c r="AI430" s="136"/>
      <c r="AJ430" s="1110"/>
    </row>
    <row r="431" spans="1:36" ht="39" x14ac:dyDescent="0.25">
      <c r="A431" s="339"/>
      <c r="B431" s="116"/>
      <c r="C431" s="95"/>
      <c r="D431" s="567"/>
      <c r="E431" s="567"/>
      <c r="F431" s="108"/>
      <c r="G431" s="108"/>
      <c r="H431" s="95"/>
      <c r="I431" s="108"/>
      <c r="J431" s="122"/>
      <c r="K431" s="191"/>
      <c r="L431" s="359"/>
      <c r="M431" s="913"/>
      <c r="N431" s="913"/>
      <c r="O431" s="95"/>
      <c r="P431" s="95"/>
      <c r="Q431" s="359"/>
      <c r="R431" s="98"/>
      <c r="S431" s="42" t="s">
        <v>92</v>
      </c>
      <c r="T431" s="43" t="s">
        <v>7010</v>
      </c>
      <c r="U431" s="136">
        <v>8100</v>
      </c>
      <c r="V431" s="136"/>
      <c r="W431" s="136"/>
      <c r="X431" s="136">
        <v>5600</v>
      </c>
      <c r="Y431" s="136"/>
      <c r="Z431" s="136"/>
      <c r="AA431" s="136" t="s">
        <v>16</v>
      </c>
      <c r="AB431" s="136" t="s">
        <v>10</v>
      </c>
      <c r="AC431" s="136">
        <v>2</v>
      </c>
      <c r="AD431" s="137" t="s">
        <v>7011</v>
      </c>
      <c r="AE431" s="137" t="s">
        <v>7007</v>
      </c>
      <c r="AF431" s="137" t="s">
        <v>37</v>
      </c>
      <c r="AG431" s="755">
        <v>44347</v>
      </c>
      <c r="AH431" s="137"/>
      <c r="AI431" s="136"/>
      <c r="AJ431" s="1110"/>
    </row>
    <row r="432" spans="1:36" ht="51.75" x14ac:dyDescent="0.25">
      <c r="A432" s="339"/>
      <c r="B432" s="116"/>
      <c r="C432" s="95"/>
      <c r="D432" s="567"/>
      <c r="E432" s="567"/>
      <c r="F432" s="108"/>
      <c r="G432" s="108"/>
      <c r="H432" s="95"/>
      <c r="I432" s="108"/>
      <c r="J432" s="122"/>
      <c r="K432" s="191"/>
      <c r="L432" s="359"/>
      <c r="M432" s="913"/>
      <c r="N432" s="913"/>
      <c r="O432" s="95"/>
      <c r="P432" s="95"/>
      <c r="Q432" s="359"/>
      <c r="R432" s="98"/>
      <c r="S432" s="42" t="s">
        <v>99</v>
      </c>
      <c r="T432" s="43" t="s">
        <v>7012</v>
      </c>
      <c r="U432" s="136">
        <v>8100</v>
      </c>
      <c r="V432" s="136"/>
      <c r="W432" s="136"/>
      <c r="X432" s="136"/>
      <c r="Y432" s="136"/>
      <c r="Z432" s="136"/>
      <c r="AA432" s="136" t="s">
        <v>16</v>
      </c>
      <c r="AB432" s="136" t="s">
        <v>10</v>
      </c>
      <c r="AC432" s="136">
        <v>2</v>
      </c>
      <c r="AD432" s="137" t="s">
        <v>7017</v>
      </c>
      <c r="AE432" s="137" t="s">
        <v>7007</v>
      </c>
      <c r="AF432" s="137" t="s">
        <v>37</v>
      </c>
      <c r="AG432" s="755">
        <v>44347</v>
      </c>
      <c r="AH432" s="137"/>
      <c r="AI432" s="136"/>
      <c r="AJ432" s="1110"/>
    </row>
    <row r="433" spans="1:36" ht="26.25" x14ac:dyDescent="0.25">
      <c r="A433" s="339"/>
      <c r="B433" s="116"/>
      <c r="C433" s="95"/>
      <c r="D433" s="567"/>
      <c r="E433" s="567"/>
      <c r="F433" s="108"/>
      <c r="G433" s="108"/>
      <c r="H433" s="95"/>
      <c r="I433" s="108"/>
      <c r="J433" s="122"/>
      <c r="K433" s="191"/>
      <c r="L433" s="359"/>
      <c r="M433" s="913"/>
      <c r="N433" s="913"/>
      <c r="O433" s="95"/>
      <c r="P433" s="95"/>
      <c r="Q433" s="359"/>
      <c r="R433" s="98"/>
      <c r="S433" s="42" t="s">
        <v>100</v>
      </c>
      <c r="T433" s="43" t="s">
        <v>7013</v>
      </c>
      <c r="U433" s="136">
        <v>9500</v>
      </c>
      <c r="V433" s="136"/>
      <c r="W433" s="136"/>
      <c r="X433" s="136">
        <v>8100</v>
      </c>
      <c r="Y433" s="136"/>
      <c r="Z433" s="136"/>
      <c r="AA433" s="136" t="s">
        <v>16</v>
      </c>
      <c r="AB433" s="136" t="s">
        <v>10</v>
      </c>
      <c r="AC433" s="136">
        <v>2</v>
      </c>
      <c r="AD433" s="137" t="s">
        <v>7014</v>
      </c>
      <c r="AE433" s="137" t="s">
        <v>7007</v>
      </c>
      <c r="AF433" s="137" t="s">
        <v>37</v>
      </c>
      <c r="AG433" s="755">
        <v>44347</v>
      </c>
      <c r="AH433" s="137"/>
      <c r="AI433" s="136"/>
      <c r="AJ433" s="1110"/>
    </row>
    <row r="434" spans="1:36" ht="51.75" x14ac:dyDescent="0.25">
      <c r="A434" s="339"/>
      <c r="B434" s="116"/>
      <c r="C434" s="95"/>
      <c r="D434" s="567"/>
      <c r="E434" s="567"/>
      <c r="F434" s="108"/>
      <c r="G434" s="108"/>
      <c r="H434" s="95"/>
      <c r="I434" s="108"/>
      <c r="J434" s="122"/>
      <c r="K434" s="191"/>
      <c r="L434" s="359"/>
      <c r="M434" s="913"/>
      <c r="N434" s="913"/>
      <c r="O434" s="95"/>
      <c r="P434" s="95"/>
      <c r="Q434" s="359"/>
      <c r="R434" s="98"/>
      <c r="S434" s="42" t="s">
        <v>101</v>
      </c>
      <c r="T434" s="43" t="s">
        <v>7015</v>
      </c>
      <c r="U434" s="136">
        <v>9500</v>
      </c>
      <c r="V434" s="136"/>
      <c r="W434" s="136"/>
      <c r="X434" s="136"/>
      <c r="Y434" s="136"/>
      <c r="Z434" s="136"/>
      <c r="AA434" s="136" t="s">
        <v>16</v>
      </c>
      <c r="AB434" s="136" t="s">
        <v>10</v>
      </c>
      <c r="AC434" s="136">
        <v>2</v>
      </c>
      <c r="AD434" s="137" t="s">
        <v>7016</v>
      </c>
      <c r="AE434" s="137" t="s">
        <v>7007</v>
      </c>
      <c r="AF434" s="137" t="s">
        <v>37</v>
      </c>
      <c r="AG434" s="755">
        <v>44347</v>
      </c>
      <c r="AH434" s="137"/>
      <c r="AI434" s="136"/>
      <c r="AJ434" s="1110"/>
    </row>
    <row r="435" spans="1:36" ht="51.75" x14ac:dyDescent="0.25">
      <c r="A435" s="339"/>
      <c r="B435" s="116"/>
      <c r="C435" s="95"/>
      <c r="D435" s="567"/>
      <c r="E435" s="567"/>
      <c r="F435" s="108"/>
      <c r="G435" s="108"/>
      <c r="H435" s="95"/>
      <c r="I435" s="108"/>
      <c r="J435" s="122"/>
      <c r="K435" s="191"/>
      <c r="L435" s="359"/>
      <c r="M435" s="913"/>
      <c r="N435" s="913"/>
      <c r="O435" s="95"/>
      <c r="P435" s="95"/>
      <c r="Q435" s="359"/>
      <c r="R435" s="98"/>
      <c r="S435" s="42" t="s">
        <v>102</v>
      </c>
      <c r="T435" s="43" t="s">
        <v>7015</v>
      </c>
      <c r="U435" s="136">
        <v>9500</v>
      </c>
      <c r="V435" s="136"/>
      <c r="W435" s="136"/>
      <c r="X435" s="136"/>
      <c r="Y435" s="136"/>
      <c r="Z435" s="136"/>
      <c r="AA435" s="136" t="s">
        <v>16</v>
      </c>
      <c r="AB435" s="136" t="s">
        <v>10</v>
      </c>
      <c r="AC435" s="136">
        <v>2</v>
      </c>
      <c r="AD435" s="137" t="s">
        <v>7016</v>
      </c>
      <c r="AE435" s="137" t="s">
        <v>7007</v>
      </c>
      <c r="AF435" s="137" t="s">
        <v>37</v>
      </c>
      <c r="AG435" s="755">
        <v>44347</v>
      </c>
      <c r="AH435" s="137"/>
      <c r="AI435" s="136"/>
      <c r="AJ435" s="1110"/>
    </row>
    <row r="436" spans="1:36" ht="52.5" thickBot="1" x14ac:dyDescent="0.3">
      <c r="A436" s="336"/>
      <c r="B436" s="196"/>
      <c r="C436" s="96"/>
      <c r="D436" s="566"/>
      <c r="E436" s="566"/>
      <c r="F436" s="107"/>
      <c r="G436" s="107"/>
      <c r="H436" s="96"/>
      <c r="I436" s="107"/>
      <c r="J436" s="123"/>
      <c r="K436" s="190"/>
      <c r="L436" s="357"/>
      <c r="M436" s="912"/>
      <c r="N436" s="912"/>
      <c r="O436" s="96"/>
      <c r="P436" s="96"/>
      <c r="Q436" s="357"/>
      <c r="R436" s="100"/>
      <c r="S436" s="48" t="s">
        <v>103</v>
      </c>
      <c r="T436" s="716" t="s">
        <v>7018</v>
      </c>
      <c r="U436" s="154"/>
      <c r="V436" s="154"/>
      <c r="W436" s="154"/>
      <c r="X436" s="154">
        <v>9500</v>
      </c>
      <c r="Y436" s="154"/>
      <c r="Z436" s="154"/>
      <c r="AA436" s="154" t="s">
        <v>16</v>
      </c>
      <c r="AB436" s="154" t="s">
        <v>10</v>
      </c>
      <c r="AC436" s="154">
        <v>2</v>
      </c>
      <c r="AD436" s="155" t="s">
        <v>7019</v>
      </c>
      <c r="AE436" s="155" t="s">
        <v>7007</v>
      </c>
      <c r="AF436" s="155" t="s">
        <v>37</v>
      </c>
      <c r="AG436" s="750">
        <v>44347</v>
      </c>
      <c r="AH436" s="155"/>
      <c r="AI436" s="154"/>
      <c r="AJ436" s="1111"/>
    </row>
    <row r="437" spans="1:36" ht="65.25" thickBot="1" x14ac:dyDescent="0.3">
      <c r="A437" s="345" t="s">
        <v>4989</v>
      </c>
      <c r="B437" s="331" t="s">
        <v>4989</v>
      </c>
      <c r="C437" s="83">
        <v>402</v>
      </c>
      <c r="D437" s="588" t="s">
        <v>52</v>
      </c>
      <c r="E437" s="588" t="s">
        <v>53</v>
      </c>
      <c r="F437" s="199"/>
      <c r="G437" s="199"/>
      <c r="H437" s="83"/>
      <c r="I437" s="199"/>
      <c r="J437" s="395"/>
      <c r="K437" s="87">
        <v>1219</v>
      </c>
      <c r="L437" s="360" t="s">
        <v>7047</v>
      </c>
      <c r="M437" s="198">
        <v>1803095.7239000001</v>
      </c>
      <c r="N437" s="198">
        <v>5433011.9851000002</v>
      </c>
      <c r="O437" s="83">
        <v>14000</v>
      </c>
      <c r="P437" s="83">
        <v>4</v>
      </c>
      <c r="Q437" s="360" t="s">
        <v>7928</v>
      </c>
      <c r="R437" s="88" t="s">
        <v>85</v>
      </c>
      <c r="S437" s="428" t="s">
        <v>47</v>
      </c>
      <c r="T437" s="329" t="s">
        <v>7048</v>
      </c>
      <c r="U437" s="86">
        <v>55000</v>
      </c>
      <c r="V437" s="86"/>
      <c r="W437" s="86"/>
      <c r="X437" s="86"/>
      <c r="Y437" s="86"/>
      <c r="Z437" s="86"/>
      <c r="AA437" s="86"/>
      <c r="AB437" s="86"/>
      <c r="AC437" s="86"/>
      <c r="AD437" s="94" t="s">
        <v>7469</v>
      </c>
      <c r="AE437" s="92" t="s">
        <v>1571</v>
      </c>
      <c r="AF437" s="92" t="s">
        <v>1380</v>
      </c>
      <c r="AG437" s="743">
        <v>44181</v>
      </c>
      <c r="AH437" s="92"/>
      <c r="AI437" s="743">
        <v>44348</v>
      </c>
      <c r="AJ437" s="1108" t="s">
        <v>3565</v>
      </c>
    </row>
    <row r="438" spans="1:36" ht="78" thickBot="1" x14ac:dyDescent="0.3">
      <c r="A438" s="334" t="s">
        <v>1569</v>
      </c>
      <c r="B438" s="333" t="s">
        <v>1569</v>
      </c>
      <c r="C438" s="84">
        <v>398</v>
      </c>
      <c r="D438" s="591" t="s">
        <v>53</v>
      </c>
      <c r="E438" s="591" t="s">
        <v>57</v>
      </c>
      <c r="F438" s="109"/>
      <c r="G438" s="109"/>
      <c r="H438" s="84"/>
      <c r="I438" s="109"/>
      <c r="J438" s="124"/>
      <c r="K438" s="89">
        <v>1108</v>
      </c>
      <c r="L438" s="396" t="s">
        <v>1560</v>
      </c>
      <c r="M438" s="265">
        <v>1817355.4395000001</v>
      </c>
      <c r="N438" s="265">
        <v>5461632.3745999997</v>
      </c>
      <c r="O438" s="84" t="s">
        <v>41</v>
      </c>
      <c r="P438" s="84">
        <v>1</v>
      </c>
      <c r="Q438" s="396" t="s">
        <v>2156</v>
      </c>
      <c r="R438" s="90" t="s">
        <v>2156</v>
      </c>
      <c r="S438" s="683" t="s">
        <v>47</v>
      </c>
      <c r="T438" s="329" t="s">
        <v>7049</v>
      </c>
      <c r="U438" s="86">
        <v>10000</v>
      </c>
      <c r="V438" s="86"/>
      <c r="W438" s="86"/>
      <c r="X438" s="86"/>
      <c r="Y438" s="86"/>
      <c r="Z438" s="86"/>
      <c r="AA438" s="86" t="s">
        <v>85</v>
      </c>
      <c r="AB438" s="86" t="s">
        <v>85</v>
      </c>
      <c r="AC438" s="86">
        <v>3</v>
      </c>
      <c r="AD438" s="94" t="s">
        <v>7050</v>
      </c>
      <c r="AE438" s="92" t="s">
        <v>1471</v>
      </c>
      <c r="AF438" s="92" t="s">
        <v>1380</v>
      </c>
      <c r="AG438" s="743">
        <v>44242</v>
      </c>
      <c r="AH438" s="92"/>
      <c r="AI438" s="743">
        <v>44243</v>
      </c>
      <c r="AJ438" s="1108" t="s">
        <v>37</v>
      </c>
    </row>
    <row r="439" spans="1:36" ht="77.25" x14ac:dyDescent="0.25">
      <c r="A439" s="487" t="s">
        <v>2851</v>
      </c>
      <c r="B439" s="128" t="s">
        <v>2851</v>
      </c>
      <c r="C439" s="72">
        <v>179</v>
      </c>
      <c r="D439" s="586" t="s">
        <v>57</v>
      </c>
      <c r="E439" s="586"/>
      <c r="F439" s="129"/>
      <c r="G439" s="231"/>
      <c r="H439" s="72"/>
      <c r="I439" s="73"/>
      <c r="J439" s="381"/>
      <c r="K439" s="187">
        <v>860</v>
      </c>
      <c r="L439" s="73" t="s">
        <v>5526</v>
      </c>
      <c r="M439" s="914">
        <v>1931263.8504000001</v>
      </c>
      <c r="N439" s="914">
        <v>5798761.8393999999</v>
      </c>
      <c r="O439" s="72" t="s">
        <v>41</v>
      </c>
      <c r="P439" s="72">
        <v>2</v>
      </c>
      <c r="Q439" s="73" t="s">
        <v>2156</v>
      </c>
      <c r="R439" s="74" t="s">
        <v>2156</v>
      </c>
      <c r="S439" s="38" t="s">
        <v>47</v>
      </c>
      <c r="T439" s="39" t="s">
        <v>5530</v>
      </c>
      <c r="U439" s="151">
        <v>800</v>
      </c>
      <c r="V439" s="151"/>
      <c r="W439" s="151"/>
      <c r="X439" s="151"/>
      <c r="Y439" s="151"/>
      <c r="Z439" s="151"/>
      <c r="AA439" s="151" t="s">
        <v>16</v>
      </c>
      <c r="AB439" s="151" t="s">
        <v>10</v>
      </c>
      <c r="AC439" s="151">
        <v>2</v>
      </c>
      <c r="AD439" s="152" t="s">
        <v>5528</v>
      </c>
      <c r="AE439" s="152" t="s">
        <v>7896</v>
      </c>
      <c r="AF439" s="152" t="s">
        <v>37</v>
      </c>
      <c r="AG439" s="749">
        <v>44257</v>
      </c>
      <c r="AH439" s="152"/>
      <c r="AI439" s="151"/>
      <c r="AJ439" s="1112"/>
    </row>
    <row r="440" spans="1:36" ht="78" thickBot="1" x14ac:dyDescent="0.3">
      <c r="A440" s="488"/>
      <c r="B440" s="131"/>
      <c r="C440" s="75"/>
      <c r="D440" s="568"/>
      <c r="E440" s="568"/>
      <c r="F440" s="118"/>
      <c r="G440" s="118"/>
      <c r="H440" s="75"/>
      <c r="I440" s="118"/>
      <c r="J440" s="121"/>
      <c r="K440" s="192"/>
      <c r="L440" s="79"/>
      <c r="M440" s="916"/>
      <c r="N440" s="916"/>
      <c r="O440" s="78"/>
      <c r="P440" s="78"/>
      <c r="Q440" s="79"/>
      <c r="R440" s="80"/>
      <c r="S440" s="48" t="s">
        <v>91</v>
      </c>
      <c r="T440" s="49" t="s">
        <v>5529</v>
      </c>
      <c r="U440" s="154">
        <v>1850</v>
      </c>
      <c r="V440" s="154">
        <f>1850-60</f>
        <v>1790</v>
      </c>
      <c r="W440" s="154">
        <f>1850+60</f>
        <v>1910</v>
      </c>
      <c r="X440" s="154">
        <v>1400</v>
      </c>
      <c r="Y440" s="154">
        <f>1400-60</f>
        <v>1340</v>
      </c>
      <c r="Z440" s="154">
        <f>1400+60</f>
        <v>1460</v>
      </c>
      <c r="AA440" s="154" t="s">
        <v>16</v>
      </c>
      <c r="AB440" s="154" t="s">
        <v>16</v>
      </c>
      <c r="AC440" s="154">
        <v>2</v>
      </c>
      <c r="AD440" s="155" t="s">
        <v>5531</v>
      </c>
      <c r="AE440" s="155" t="s">
        <v>7896</v>
      </c>
      <c r="AF440" s="155" t="s">
        <v>37</v>
      </c>
      <c r="AG440" s="750">
        <v>44257</v>
      </c>
      <c r="AH440" s="155"/>
      <c r="AI440" s="154"/>
      <c r="AJ440" s="1111"/>
    </row>
    <row r="441" spans="1:36" ht="77.25" x14ac:dyDescent="0.25">
      <c r="A441" s="488"/>
      <c r="B441" s="131"/>
      <c r="C441" s="75"/>
      <c r="D441" s="568"/>
      <c r="E441" s="568"/>
      <c r="F441" s="118"/>
      <c r="G441" s="118"/>
      <c r="H441" s="75"/>
      <c r="I441" s="118"/>
      <c r="J441" s="121"/>
      <c r="K441" s="187">
        <v>861</v>
      </c>
      <c r="L441" s="73" t="s">
        <v>5527</v>
      </c>
      <c r="M441" s="914">
        <v>1931724.3271000001</v>
      </c>
      <c r="N441" s="914">
        <v>5799104.0743000004</v>
      </c>
      <c r="O441" s="72" t="s">
        <v>41</v>
      </c>
      <c r="P441" s="140" t="s">
        <v>1316</v>
      </c>
      <c r="Q441" s="73" t="s">
        <v>2156</v>
      </c>
      <c r="R441" s="74" t="s">
        <v>2156</v>
      </c>
      <c r="S441" s="38" t="s">
        <v>92</v>
      </c>
      <c r="T441" s="39" t="s">
        <v>5532</v>
      </c>
      <c r="U441" s="151">
        <v>4800</v>
      </c>
      <c r="V441" s="151"/>
      <c r="W441" s="151"/>
      <c r="X441" s="151">
        <v>1850</v>
      </c>
      <c r="Y441" s="151"/>
      <c r="Z441" s="151"/>
      <c r="AA441" s="151" t="s">
        <v>16</v>
      </c>
      <c r="AB441" s="151" t="s">
        <v>16</v>
      </c>
      <c r="AC441" s="151">
        <v>2</v>
      </c>
      <c r="AD441" s="152" t="s">
        <v>5534</v>
      </c>
      <c r="AE441" s="152" t="s">
        <v>7896</v>
      </c>
      <c r="AF441" s="152" t="s">
        <v>37</v>
      </c>
      <c r="AG441" s="749">
        <v>44257</v>
      </c>
      <c r="AH441" s="152"/>
      <c r="AI441" s="151"/>
      <c r="AJ441" s="1112"/>
    </row>
    <row r="442" spans="1:36" ht="77.25" x14ac:dyDescent="0.25">
      <c r="A442" s="488"/>
      <c r="B442" s="131"/>
      <c r="C442" s="75"/>
      <c r="D442" s="568"/>
      <c r="E442" s="568"/>
      <c r="F442" s="118"/>
      <c r="G442" s="118"/>
      <c r="H442" s="75"/>
      <c r="I442" s="118"/>
      <c r="J442" s="121"/>
      <c r="K442" s="188"/>
      <c r="L442" s="76"/>
      <c r="M442" s="915"/>
      <c r="N442" s="915"/>
      <c r="O442" s="75"/>
      <c r="P442" s="143"/>
      <c r="Q442" s="76"/>
      <c r="R442" s="77"/>
      <c r="S442" s="42" t="s">
        <v>99</v>
      </c>
      <c r="T442" s="43" t="s">
        <v>5532</v>
      </c>
      <c r="U442" s="136">
        <v>4800</v>
      </c>
      <c r="V442" s="136"/>
      <c r="W442" s="136"/>
      <c r="X442" s="136">
        <v>1850</v>
      </c>
      <c r="Y442" s="136"/>
      <c r="Z442" s="136"/>
      <c r="AA442" s="136" t="s">
        <v>16</v>
      </c>
      <c r="AB442" s="136" t="s">
        <v>16</v>
      </c>
      <c r="AC442" s="136">
        <v>2</v>
      </c>
      <c r="AD442" s="137" t="s">
        <v>5533</v>
      </c>
      <c r="AE442" s="137" t="s">
        <v>7896</v>
      </c>
      <c r="AF442" s="137" t="s">
        <v>37</v>
      </c>
      <c r="AG442" s="755">
        <v>44257</v>
      </c>
      <c r="AH442" s="137"/>
      <c r="AI442" s="136"/>
      <c r="AJ442" s="1110"/>
    </row>
    <row r="443" spans="1:36" ht="78" thickBot="1" x14ac:dyDescent="0.3">
      <c r="A443" s="489"/>
      <c r="B443" s="133"/>
      <c r="C443" s="78"/>
      <c r="D443" s="569"/>
      <c r="E443" s="569"/>
      <c r="F443" s="119"/>
      <c r="G443" s="119"/>
      <c r="H443" s="78"/>
      <c r="I443" s="119"/>
      <c r="J443" s="429"/>
      <c r="K443" s="192"/>
      <c r="L443" s="79"/>
      <c r="M443" s="916"/>
      <c r="N443" s="916"/>
      <c r="O443" s="78"/>
      <c r="P443" s="78"/>
      <c r="Q443" s="79"/>
      <c r="R443" s="80"/>
      <c r="S443" s="48" t="s">
        <v>100</v>
      </c>
      <c r="T443" s="49" t="s">
        <v>5532</v>
      </c>
      <c r="U443" s="154">
        <v>4800</v>
      </c>
      <c r="V443" s="154"/>
      <c r="W443" s="154"/>
      <c r="X443" s="154">
        <v>1850</v>
      </c>
      <c r="Y443" s="154"/>
      <c r="Z443" s="154"/>
      <c r="AA443" s="154" t="s">
        <v>16</v>
      </c>
      <c r="AB443" s="154" t="s">
        <v>16</v>
      </c>
      <c r="AC443" s="154">
        <v>2</v>
      </c>
      <c r="AD443" s="155" t="s">
        <v>5535</v>
      </c>
      <c r="AE443" s="155" t="s">
        <v>7896</v>
      </c>
      <c r="AF443" s="155" t="s">
        <v>37</v>
      </c>
      <c r="AG443" s="750">
        <v>44257</v>
      </c>
      <c r="AH443" s="155"/>
      <c r="AI443" s="154"/>
      <c r="AJ443" s="1111"/>
    </row>
    <row r="444" spans="1:36" ht="26.25" x14ac:dyDescent="0.25">
      <c r="A444" s="487" t="s">
        <v>5357</v>
      </c>
      <c r="B444" s="128" t="s">
        <v>6815</v>
      </c>
      <c r="C444" s="72">
        <v>271</v>
      </c>
      <c r="D444" s="586" t="s">
        <v>53</v>
      </c>
      <c r="E444" s="586"/>
      <c r="F444" s="129"/>
      <c r="G444" s="129"/>
      <c r="H444" s="72"/>
      <c r="I444" s="129"/>
      <c r="J444" s="381"/>
      <c r="K444" s="187">
        <v>973</v>
      </c>
      <c r="L444" s="73" t="s">
        <v>7823</v>
      </c>
      <c r="M444" s="914">
        <v>1904001.5294000001</v>
      </c>
      <c r="N444" s="914">
        <v>5637878.9460000005</v>
      </c>
      <c r="O444" s="72" t="s">
        <v>7876</v>
      </c>
      <c r="P444" s="72">
        <v>3</v>
      </c>
      <c r="Q444" s="73" t="s">
        <v>7877</v>
      </c>
      <c r="R444" s="74" t="s">
        <v>85</v>
      </c>
      <c r="S444" s="38" t="s">
        <v>47</v>
      </c>
      <c r="T444" s="39" t="s">
        <v>7824</v>
      </c>
      <c r="U444" s="151">
        <v>1800</v>
      </c>
      <c r="V444" s="151"/>
      <c r="W444" s="151"/>
      <c r="X444" s="151"/>
      <c r="Y444" s="151"/>
      <c r="Z444" s="151"/>
      <c r="AA444" s="151" t="s">
        <v>85</v>
      </c>
      <c r="AB444" s="151" t="s">
        <v>10</v>
      </c>
      <c r="AC444" s="151">
        <v>3</v>
      </c>
      <c r="AD444" s="152" t="s">
        <v>7827</v>
      </c>
      <c r="AE444" s="152" t="s">
        <v>7830</v>
      </c>
      <c r="AF444" s="152" t="s">
        <v>37</v>
      </c>
      <c r="AG444" s="749">
        <v>44361</v>
      </c>
      <c r="AH444" s="152"/>
      <c r="AI444" s="151"/>
      <c r="AJ444" s="1112"/>
    </row>
    <row r="445" spans="1:36" ht="64.5" x14ac:dyDescent="0.25">
      <c r="A445" s="488"/>
      <c r="B445" s="131"/>
      <c r="C445" s="75"/>
      <c r="D445" s="568"/>
      <c r="E445" s="568"/>
      <c r="F445" s="118"/>
      <c r="G445" s="118"/>
      <c r="H445" s="75"/>
      <c r="I445" s="118"/>
      <c r="J445" s="121"/>
      <c r="K445" s="188"/>
      <c r="L445" s="76"/>
      <c r="M445" s="915"/>
      <c r="N445" s="915"/>
      <c r="O445" s="75"/>
      <c r="P445" s="75"/>
      <c r="Q445" s="76"/>
      <c r="R445" s="77"/>
      <c r="S445" s="42" t="s">
        <v>91</v>
      </c>
      <c r="T445" s="43" t="s">
        <v>7825</v>
      </c>
      <c r="U445" s="800">
        <v>10000</v>
      </c>
      <c r="V445" s="136"/>
      <c r="W445" s="136"/>
      <c r="X445" s="136">
        <v>9831</v>
      </c>
      <c r="Y445" s="136">
        <f>9831-346</f>
        <v>9485</v>
      </c>
      <c r="Z445" s="136">
        <f>9831+346</f>
        <v>10177</v>
      </c>
      <c r="AA445" s="136" t="s">
        <v>85</v>
      </c>
      <c r="AB445" s="136" t="s">
        <v>16</v>
      </c>
      <c r="AC445" s="136">
        <v>3</v>
      </c>
      <c r="AD445" s="137" t="s">
        <v>7828</v>
      </c>
      <c r="AE445" s="137" t="s">
        <v>7830</v>
      </c>
      <c r="AF445" s="137" t="s">
        <v>37</v>
      </c>
      <c r="AG445" s="755">
        <v>44361</v>
      </c>
      <c r="AH445" s="137"/>
      <c r="AI445" s="136"/>
      <c r="AJ445" s="1110"/>
    </row>
    <row r="446" spans="1:36" ht="27" thickBot="1" x14ac:dyDescent="0.3">
      <c r="A446" s="489"/>
      <c r="B446" s="133"/>
      <c r="C446" s="78"/>
      <c r="D446" s="569"/>
      <c r="E446" s="569"/>
      <c r="F446" s="119"/>
      <c r="G446" s="119"/>
      <c r="H446" s="78"/>
      <c r="I446" s="119"/>
      <c r="J446" s="429"/>
      <c r="K446" s="192"/>
      <c r="L446" s="79"/>
      <c r="M446" s="916"/>
      <c r="N446" s="916"/>
      <c r="O446" s="78"/>
      <c r="P446" s="78"/>
      <c r="Q446" s="79"/>
      <c r="R446" s="80"/>
      <c r="S446" s="48" t="s">
        <v>92</v>
      </c>
      <c r="T446" s="49" t="s">
        <v>7826</v>
      </c>
      <c r="U446" s="154"/>
      <c r="V446" s="154"/>
      <c r="W446" s="154"/>
      <c r="X446" s="154">
        <v>10100</v>
      </c>
      <c r="Y446" s="154"/>
      <c r="Z446" s="154"/>
      <c r="AA446" s="154" t="s">
        <v>85</v>
      </c>
      <c r="AB446" s="154" t="s">
        <v>16</v>
      </c>
      <c r="AC446" s="154">
        <v>3</v>
      </c>
      <c r="AD446" s="155" t="s">
        <v>7829</v>
      </c>
      <c r="AE446" s="155" t="s">
        <v>7830</v>
      </c>
      <c r="AF446" s="155" t="s">
        <v>37</v>
      </c>
      <c r="AG446" s="750">
        <v>44361</v>
      </c>
      <c r="AH446" s="155"/>
      <c r="AI446" s="154"/>
      <c r="AJ446" s="1111"/>
    </row>
    <row r="447" spans="1:36" ht="77.25" x14ac:dyDescent="0.25">
      <c r="A447" s="488" t="s">
        <v>5357</v>
      </c>
      <c r="B447" s="131" t="s">
        <v>6818</v>
      </c>
      <c r="C447" s="75">
        <v>272</v>
      </c>
      <c r="D447" s="568" t="s">
        <v>53</v>
      </c>
      <c r="E447" s="568" t="s">
        <v>52</v>
      </c>
      <c r="F447" s="118"/>
      <c r="G447" s="118"/>
      <c r="H447" s="75"/>
      <c r="I447" s="118"/>
      <c r="J447" s="121"/>
      <c r="K447" s="188">
        <v>975</v>
      </c>
      <c r="L447" s="76" t="s">
        <v>7842</v>
      </c>
      <c r="M447" s="915">
        <v>1891002.7378</v>
      </c>
      <c r="N447" s="915">
        <v>5612953.5673000002</v>
      </c>
      <c r="O447" s="75">
        <v>2000</v>
      </c>
      <c r="P447" s="75">
        <v>4</v>
      </c>
      <c r="Q447" s="76" t="s">
        <v>7879</v>
      </c>
      <c r="R447" s="75" t="s">
        <v>85</v>
      </c>
      <c r="S447" s="38" t="s">
        <v>47</v>
      </c>
      <c r="T447" s="39" t="s">
        <v>7824</v>
      </c>
      <c r="U447" s="151">
        <v>1800</v>
      </c>
      <c r="V447" s="151"/>
      <c r="W447" s="151"/>
      <c r="X447" s="151"/>
      <c r="Y447" s="151"/>
      <c r="Z447" s="151"/>
      <c r="AA447" s="151" t="s">
        <v>85</v>
      </c>
      <c r="AB447" s="151" t="s">
        <v>16</v>
      </c>
      <c r="AC447" s="151">
        <v>3</v>
      </c>
      <c r="AD447" s="152" t="s">
        <v>7845</v>
      </c>
      <c r="AE447" s="152" t="s">
        <v>7830</v>
      </c>
      <c r="AF447" s="152" t="s">
        <v>37</v>
      </c>
      <c r="AG447" s="749">
        <v>44361</v>
      </c>
      <c r="AH447" s="152"/>
      <c r="AI447" s="151"/>
      <c r="AJ447" s="1112"/>
    </row>
    <row r="448" spans="1:36" ht="39" x14ac:dyDescent="0.25">
      <c r="A448" s="488"/>
      <c r="B448" s="131"/>
      <c r="C448" s="75"/>
      <c r="D448" s="568"/>
      <c r="E448" s="568"/>
      <c r="F448" s="118"/>
      <c r="G448" s="118"/>
      <c r="H448" s="75"/>
      <c r="I448" s="118"/>
      <c r="J448" s="121"/>
      <c r="K448" s="188"/>
      <c r="L448" s="76"/>
      <c r="M448" s="915"/>
      <c r="N448" s="915"/>
      <c r="O448" s="75"/>
      <c r="P448" s="75"/>
      <c r="Q448" s="76"/>
      <c r="R448" s="75"/>
      <c r="S448" s="42" t="s">
        <v>91</v>
      </c>
      <c r="T448" s="43" t="s">
        <v>4873</v>
      </c>
      <c r="U448" s="136">
        <v>3500</v>
      </c>
      <c r="V448" s="136"/>
      <c r="W448" s="136"/>
      <c r="X448" s="136">
        <v>1800</v>
      </c>
      <c r="Y448" s="136"/>
      <c r="Z448" s="136"/>
      <c r="AA448" s="136" t="s">
        <v>85</v>
      </c>
      <c r="AB448" s="136" t="s">
        <v>16</v>
      </c>
      <c r="AC448" s="136">
        <v>3</v>
      </c>
      <c r="AD448" s="137" t="s">
        <v>7846</v>
      </c>
      <c r="AE448" s="137" t="s">
        <v>7830</v>
      </c>
      <c r="AF448" s="137" t="s">
        <v>37</v>
      </c>
      <c r="AG448" s="755">
        <v>44361</v>
      </c>
      <c r="AH448" s="137"/>
      <c r="AI448" s="136"/>
      <c r="AJ448" s="1110"/>
    </row>
    <row r="449" spans="1:36" ht="51.75" x14ac:dyDescent="0.25">
      <c r="A449" s="488"/>
      <c r="B449" s="131"/>
      <c r="C449" s="75"/>
      <c r="D449" s="568"/>
      <c r="E449" s="568"/>
      <c r="F449" s="118"/>
      <c r="G449" s="118"/>
      <c r="H449" s="75"/>
      <c r="I449" s="118"/>
      <c r="J449" s="121"/>
      <c r="K449" s="188"/>
      <c r="L449" s="76"/>
      <c r="M449" s="915"/>
      <c r="N449" s="915"/>
      <c r="O449" s="75"/>
      <c r="P449" s="75"/>
      <c r="Q449" s="76"/>
      <c r="R449" s="75"/>
      <c r="S449" s="42" t="s">
        <v>92</v>
      </c>
      <c r="T449" s="43" t="s">
        <v>7843</v>
      </c>
      <c r="U449" s="136">
        <v>5919</v>
      </c>
      <c r="V449" s="136">
        <f>5919-257</f>
        <v>5662</v>
      </c>
      <c r="W449" s="136">
        <f>5919+257</f>
        <v>6176</v>
      </c>
      <c r="X449" s="136">
        <v>4728</v>
      </c>
      <c r="Y449" s="136">
        <f>4728-145</f>
        <v>4583</v>
      </c>
      <c r="Z449" s="136">
        <f>4728+145</f>
        <v>4873</v>
      </c>
      <c r="AA449" s="136" t="s">
        <v>16</v>
      </c>
      <c r="AB449" s="136" t="s">
        <v>16</v>
      </c>
      <c r="AC449" s="136">
        <v>2</v>
      </c>
      <c r="AD449" s="137" t="s">
        <v>7847</v>
      </c>
      <c r="AE449" s="137" t="s">
        <v>7830</v>
      </c>
      <c r="AF449" s="137" t="s">
        <v>37</v>
      </c>
      <c r="AG449" s="755">
        <v>44361</v>
      </c>
      <c r="AH449" s="137"/>
      <c r="AI449" s="136"/>
      <c r="AJ449" s="1110"/>
    </row>
    <row r="450" spans="1:36" ht="52.5" thickBot="1" x14ac:dyDescent="0.3">
      <c r="A450" s="488"/>
      <c r="B450" s="131"/>
      <c r="C450" s="75"/>
      <c r="D450" s="568"/>
      <c r="E450" s="568"/>
      <c r="F450" s="118"/>
      <c r="G450" s="118"/>
      <c r="H450" s="75"/>
      <c r="I450" s="118"/>
      <c r="J450" s="121"/>
      <c r="K450" s="188"/>
      <c r="L450" s="76"/>
      <c r="M450" s="915"/>
      <c r="N450" s="915"/>
      <c r="O450" s="75"/>
      <c r="P450" s="75"/>
      <c r="Q450" s="76"/>
      <c r="R450" s="75"/>
      <c r="S450" s="48" t="s">
        <v>99</v>
      </c>
      <c r="T450" s="49" t="s">
        <v>7844</v>
      </c>
      <c r="U450" s="154">
        <v>16810</v>
      </c>
      <c r="V450" s="154">
        <f>16810-575</f>
        <v>16235</v>
      </c>
      <c r="W450" s="154">
        <f>16810+575</f>
        <v>17385</v>
      </c>
      <c r="X450" s="154"/>
      <c r="Y450" s="154"/>
      <c r="Z450" s="154"/>
      <c r="AA450" s="154" t="s">
        <v>85</v>
      </c>
      <c r="AB450" s="154" t="s">
        <v>16</v>
      </c>
      <c r="AC450" s="154">
        <v>3</v>
      </c>
      <c r="AD450" s="155" t="s">
        <v>7848</v>
      </c>
      <c r="AE450" s="155" t="s">
        <v>7830</v>
      </c>
      <c r="AF450" s="155" t="s">
        <v>37</v>
      </c>
      <c r="AG450" s="750">
        <v>44361</v>
      </c>
      <c r="AH450" s="155"/>
      <c r="AI450" s="154"/>
      <c r="AJ450" s="1111"/>
    </row>
    <row r="451" spans="1:36" ht="90" x14ac:dyDescent="0.25">
      <c r="A451" s="341" t="s">
        <v>1606</v>
      </c>
      <c r="B451" s="181" t="s">
        <v>1605</v>
      </c>
      <c r="C451" s="125">
        <v>395</v>
      </c>
      <c r="D451" s="585" t="s">
        <v>53</v>
      </c>
      <c r="E451" s="585"/>
      <c r="F451" s="126"/>
      <c r="G451" s="126"/>
      <c r="H451" s="125"/>
      <c r="I451" s="126"/>
      <c r="J451" s="247"/>
      <c r="K451" s="189">
        <v>1140</v>
      </c>
      <c r="L451" s="355" t="s">
        <v>7471</v>
      </c>
      <c r="M451" s="911">
        <v>1822050.8933999999</v>
      </c>
      <c r="N451" s="911">
        <v>5469514.6369000003</v>
      </c>
      <c r="O451" s="125" t="s">
        <v>7051</v>
      </c>
      <c r="P451" s="145" t="s">
        <v>1316</v>
      </c>
      <c r="Q451" s="355" t="s">
        <v>7929</v>
      </c>
      <c r="R451" s="134" t="s">
        <v>85</v>
      </c>
      <c r="S451" s="656" t="s">
        <v>47</v>
      </c>
      <c r="T451" s="340" t="s">
        <v>7052</v>
      </c>
      <c r="U451" s="31"/>
      <c r="V451" s="31">
        <v>1068</v>
      </c>
      <c r="W451" s="31">
        <v>1283</v>
      </c>
      <c r="X451" s="31"/>
      <c r="Y451" s="31"/>
      <c r="Z451" s="31"/>
      <c r="AA451" s="31" t="s">
        <v>85</v>
      </c>
      <c r="AB451" s="31" t="s">
        <v>85</v>
      </c>
      <c r="AC451" s="31">
        <v>3</v>
      </c>
      <c r="AD451" s="30" t="s">
        <v>7461</v>
      </c>
      <c r="AE451" s="40" t="s">
        <v>6976</v>
      </c>
      <c r="AF451" s="40" t="s">
        <v>1380</v>
      </c>
      <c r="AG451" s="744">
        <v>44223</v>
      </c>
      <c r="AH451" s="40"/>
      <c r="AI451" s="744">
        <v>44348</v>
      </c>
      <c r="AJ451" s="652" t="s">
        <v>3565</v>
      </c>
    </row>
    <row r="452" spans="1:36" ht="77.25" x14ac:dyDescent="0.25">
      <c r="A452" s="339"/>
      <c r="B452" s="338"/>
      <c r="C452" s="277"/>
      <c r="D452" s="565"/>
      <c r="E452" s="565"/>
      <c r="F452" s="276"/>
      <c r="G452" s="276"/>
      <c r="H452" s="277"/>
      <c r="I452" s="276"/>
      <c r="J452" s="122"/>
      <c r="K452" s="191"/>
      <c r="L452" s="356"/>
      <c r="M452" s="938"/>
      <c r="N452" s="938"/>
      <c r="O452" s="277"/>
      <c r="P452" s="277"/>
      <c r="Q452" s="356"/>
      <c r="R452" s="98"/>
      <c r="S452" s="658" t="s">
        <v>91</v>
      </c>
      <c r="T452" s="179" t="s">
        <v>7053</v>
      </c>
      <c r="U452" s="24"/>
      <c r="V452" s="24">
        <v>2356</v>
      </c>
      <c r="W452" s="24">
        <v>2707</v>
      </c>
      <c r="X452" s="24"/>
      <c r="Y452" s="117">
        <v>1068</v>
      </c>
      <c r="Z452" s="117">
        <v>1283</v>
      </c>
      <c r="AA452" s="24" t="s">
        <v>16</v>
      </c>
      <c r="AB452" s="24" t="s">
        <v>85</v>
      </c>
      <c r="AC452" s="24">
        <v>3</v>
      </c>
      <c r="AD452" s="45" t="s">
        <v>7460</v>
      </c>
      <c r="AE452" s="46" t="s">
        <v>6976</v>
      </c>
      <c r="AF452" s="46" t="s">
        <v>1380</v>
      </c>
      <c r="AG452" s="746">
        <v>44223</v>
      </c>
      <c r="AH452" s="46"/>
      <c r="AI452" s="746">
        <v>44348</v>
      </c>
      <c r="AJ452" s="1107" t="s">
        <v>3565</v>
      </c>
    </row>
    <row r="453" spans="1:36" ht="102.75" x14ac:dyDescent="0.25">
      <c r="A453" s="339"/>
      <c r="B453" s="338"/>
      <c r="C453" s="277"/>
      <c r="D453" s="565"/>
      <c r="E453" s="565"/>
      <c r="F453" s="276"/>
      <c r="G453" s="276"/>
      <c r="H453" s="277"/>
      <c r="I453" s="276"/>
      <c r="J453" s="122"/>
      <c r="K453" s="191"/>
      <c r="L453" s="356"/>
      <c r="M453" s="938"/>
      <c r="N453" s="938"/>
      <c r="O453" s="277"/>
      <c r="P453" s="277"/>
      <c r="Q453" s="356"/>
      <c r="R453" s="98"/>
      <c r="S453" s="658" t="s">
        <v>92</v>
      </c>
      <c r="T453" s="179" t="s">
        <v>7054</v>
      </c>
      <c r="U453" s="24"/>
      <c r="V453" s="24">
        <v>3693</v>
      </c>
      <c r="W453" s="24">
        <v>3893</v>
      </c>
      <c r="X453" s="24"/>
      <c r="Y453" s="24">
        <v>2356</v>
      </c>
      <c r="Z453" s="24">
        <v>2707</v>
      </c>
      <c r="AA453" s="24" t="s">
        <v>16</v>
      </c>
      <c r="AB453" s="24" t="s">
        <v>16</v>
      </c>
      <c r="AC453" s="24">
        <v>2</v>
      </c>
      <c r="AD453" s="45" t="s">
        <v>7459</v>
      </c>
      <c r="AE453" s="46" t="s">
        <v>6976</v>
      </c>
      <c r="AF453" s="46" t="s">
        <v>1380</v>
      </c>
      <c r="AG453" s="746">
        <v>44223</v>
      </c>
      <c r="AH453" s="46"/>
      <c r="AI453" s="746">
        <v>44348</v>
      </c>
      <c r="AJ453" s="1107" t="s">
        <v>3565</v>
      </c>
    </row>
    <row r="454" spans="1:36" ht="77.25" x14ac:dyDescent="0.25">
      <c r="A454" s="339"/>
      <c r="B454" s="338"/>
      <c r="C454" s="277"/>
      <c r="D454" s="565"/>
      <c r="E454" s="565"/>
      <c r="F454" s="276"/>
      <c r="G454" s="276"/>
      <c r="H454" s="277"/>
      <c r="I454" s="276"/>
      <c r="J454" s="122"/>
      <c r="K454" s="191"/>
      <c r="L454" s="356"/>
      <c r="M454" s="938"/>
      <c r="N454" s="938"/>
      <c r="O454" s="277"/>
      <c r="P454" s="277"/>
      <c r="Q454" s="356"/>
      <c r="R454" s="98"/>
      <c r="S454" s="658" t="s">
        <v>99</v>
      </c>
      <c r="T454" s="179" t="s">
        <v>7055</v>
      </c>
      <c r="U454" s="24"/>
      <c r="V454" s="24"/>
      <c r="W454" s="24"/>
      <c r="X454" s="24"/>
      <c r="Y454" s="24">
        <v>3639</v>
      </c>
      <c r="Z454" s="24">
        <v>3893</v>
      </c>
      <c r="AA454" s="24" t="s">
        <v>85</v>
      </c>
      <c r="AB454" s="24" t="s">
        <v>16</v>
      </c>
      <c r="AC454" s="24">
        <v>3</v>
      </c>
      <c r="AD454" s="45" t="s">
        <v>7458</v>
      </c>
      <c r="AE454" s="46" t="s">
        <v>6976</v>
      </c>
      <c r="AF454" s="46" t="s">
        <v>1380</v>
      </c>
      <c r="AG454" s="746">
        <v>44223</v>
      </c>
      <c r="AH454" s="46"/>
      <c r="AI454" s="746">
        <v>44348</v>
      </c>
      <c r="AJ454" s="1107" t="s">
        <v>3565</v>
      </c>
    </row>
    <row r="455" spans="1:36" ht="90.75" thickBot="1" x14ac:dyDescent="0.3">
      <c r="A455" s="336"/>
      <c r="B455" s="196"/>
      <c r="C455" s="96"/>
      <c r="D455" s="566"/>
      <c r="E455" s="566"/>
      <c r="F455" s="107"/>
      <c r="G455" s="107"/>
      <c r="H455" s="96"/>
      <c r="I455" s="107"/>
      <c r="J455" s="123"/>
      <c r="K455" s="190"/>
      <c r="L455" s="357"/>
      <c r="M455" s="912"/>
      <c r="N455" s="912"/>
      <c r="O455" s="96"/>
      <c r="P455" s="96"/>
      <c r="Q455" s="357"/>
      <c r="R455" s="100"/>
      <c r="S455" s="657" t="s">
        <v>100</v>
      </c>
      <c r="T455" s="335" t="s">
        <v>7056</v>
      </c>
      <c r="U455" s="120"/>
      <c r="V455" s="25">
        <v>11297</v>
      </c>
      <c r="W455" s="25">
        <v>12258</v>
      </c>
      <c r="X455" s="25"/>
      <c r="Y455" s="25"/>
      <c r="Z455" s="25"/>
      <c r="AA455" s="25" t="s">
        <v>85</v>
      </c>
      <c r="AB455" s="25" t="s">
        <v>16</v>
      </c>
      <c r="AC455" s="25">
        <v>3</v>
      </c>
      <c r="AD455" s="51" t="s">
        <v>7457</v>
      </c>
      <c r="AE455" s="52" t="s">
        <v>6976</v>
      </c>
      <c r="AF455" s="52" t="s">
        <v>1380</v>
      </c>
      <c r="AG455" s="745">
        <v>44223</v>
      </c>
      <c r="AH455" s="52"/>
      <c r="AI455" s="745">
        <v>44348</v>
      </c>
      <c r="AJ455" s="653" t="s">
        <v>3565</v>
      </c>
    </row>
    <row r="456" spans="1:36" ht="102.75" x14ac:dyDescent="0.25">
      <c r="A456" s="487" t="s">
        <v>4731</v>
      </c>
      <c r="B456" s="128" t="s">
        <v>7668</v>
      </c>
      <c r="C456" s="72">
        <v>641</v>
      </c>
      <c r="D456" s="586" t="s">
        <v>52</v>
      </c>
      <c r="E456" s="586"/>
      <c r="F456" s="129"/>
      <c r="G456" s="129"/>
      <c r="H456" s="72"/>
      <c r="I456" s="129"/>
      <c r="J456" s="381"/>
      <c r="K456" s="187">
        <v>822</v>
      </c>
      <c r="L456" s="73" t="s">
        <v>4736</v>
      </c>
      <c r="M456" s="914">
        <v>1563276.2086</v>
      </c>
      <c r="N456" s="914">
        <v>5228198.9650999997</v>
      </c>
      <c r="O456" s="72" t="s">
        <v>41</v>
      </c>
      <c r="P456" s="72">
        <v>2</v>
      </c>
      <c r="Q456" s="73" t="s">
        <v>2156</v>
      </c>
      <c r="R456" s="74" t="s">
        <v>2156</v>
      </c>
      <c r="S456" s="38" t="s">
        <v>47</v>
      </c>
      <c r="T456" s="39" t="s">
        <v>4733</v>
      </c>
      <c r="U456" s="31"/>
      <c r="V456" s="31"/>
      <c r="W456" s="31"/>
      <c r="X456" s="31"/>
      <c r="Y456" s="31">
        <v>0</v>
      </c>
      <c r="Z456" s="31">
        <f>1950-1666</f>
        <v>284</v>
      </c>
      <c r="AA456" s="31" t="s">
        <v>85</v>
      </c>
      <c r="AB456" s="31" t="s">
        <v>16</v>
      </c>
      <c r="AC456" s="31">
        <v>3</v>
      </c>
      <c r="AD456" s="40" t="s">
        <v>4734</v>
      </c>
      <c r="AE456" s="40" t="s">
        <v>4726</v>
      </c>
      <c r="AF456" s="40" t="s">
        <v>37</v>
      </c>
      <c r="AG456" s="744">
        <v>44218</v>
      </c>
      <c r="AH456" s="40"/>
      <c r="AI456" s="31"/>
      <c r="AJ456" s="652"/>
    </row>
    <row r="457" spans="1:36" ht="103.5" thickBot="1" x14ac:dyDescent="0.3">
      <c r="A457" s="489"/>
      <c r="B457" s="133"/>
      <c r="C457" s="78"/>
      <c r="D457" s="569"/>
      <c r="E457" s="569"/>
      <c r="F457" s="119"/>
      <c r="G457" s="119"/>
      <c r="H457" s="78"/>
      <c r="I457" s="119"/>
      <c r="J457" s="429"/>
      <c r="K457" s="192"/>
      <c r="L457" s="79"/>
      <c r="M457" s="916"/>
      <c r="N457" s="916"/>
      <c r="O457" s="78"/>
      <c r="P457" s="78"/>
      <c r="Q457" s="79"/>
      <c r="R457" s="80"/>
      <c r="S457" s="48" t="s">
        <v>91</v>
      </c>
      <c r="T457" s="49" t="s">
        <v>4732</v>
      </c>
      <c r="U457" s="25"/>
      <c r="V457" s="25">
        <f>1950+411</f>
        <v>2361</v>
      </c>
      <c r="W457" s="25">
        <f>1950+192</f>
        <v>2142</v>
      </c>
      <c r="X457" s="25"/>
      <c r="Y457" s="25"/>
      <c r="Z457" s="25"/>
      <c r="AA457" s="25" t="s">
        <v>85</v>
      </c>
      <c r="AB457" s="25" t="s">
        <v>16</v>
      </c>
      <c r="AC457" s="25">
        <v>3</v>
      </c>
      <c r="AD457" s="52" t="s">
        <v>4735</v>
      </c>
      <c r="AE457" s="52" t="s">
        <v>4726</v>
      </c>
      <c r="AF457" s="52" t="s">
        <v>37</v>
      </c>
      <c r="AG457" s="745">
        <v>44218</v>
      </c>
      <c r="AH457" s="52"/>
      <c r="AI457" s="25"/>
      <c r="AJ457" s="653"/>
    </row>
    <row r="458" spans="1:36" ht="78" thickBot="1" x14ac:dyDescent="0.3">
      <c r="A458" s="524" t="s">
        <v>5905</v>
      </c>
      <c r="B458" s="81" t="s">
        <v>5905</v>
      </c>
      <c r="C458" s="26">
        <v>812</v>
      </c>
      <c r="D458" s="594" t="s">
        <v>52</v>
      </c>
      <c r="E458" s="594" t="s">
        <v>53</v>
      </c>
      <c r="F458" s="491" t="s">
        <v>5927</v>
      </c>
      <c r="G458" s="1120" t="s">
        <v>5924</v>
      </c>
      <c r="H458" s="26" t="s">
        <v>85</v>
      </c>
      <c r="I458" s="58" t="s">
        <v>5925</v>
      </c>
      <c r="J458" s="29" t="s">
        <v>5926</v>
      </c>
      <c r="K458" s="263">
        <v>867</v>
      </c>
      <c r="L458" s="467" t="s">
        <v>5910</v>
      </c>
      <c r="M458" s="918">
        <v>1283647.1525000001</v>
      </c>
      <c r="N458" s="918">
        <v>4986534.6465999996</v>
      </c>
      <c r="O458" s="210" t="s">
        <v>41</v>
      </c>
      <c r="P458" s="210">
        <v>1</v>
      </c>
      <c r="Q458" s="467" t="s">
        <v>2156</v>
      </c>
      <c r="R458" s="400" t="s">
        <v>2156</v>
      </c>
      <c r="S458" s="428" t="s">
        <v>47</v>
      </c>
      <c r="T458" s="243" t="s">
        <v>5906</v>
      </c>
      <c r="U458" s="86">
        <v>70000</v>
      </c>
      <c r="V458" s="86"/>
      <c r="W458" s="86"/>
      <c r="X458" s="86">
        <v>18000</v>
      </c>
      <c r="Y458" s="86"/>
      <c r="Z458" s="86"/>
      <c r="AA458" s="86" t="s">
        <v>85</v>
      </c>
      <c r="AB458" s="86" t="s">
        <v>10</v>
      </c>
      <c r="AC458" s="86">
        <v>3</v>
      </c>
      <c r="AD458" s="92" t="s">
        <v>5919</v>
      </c>
      <c r="AE458" s="92" t="s">
        <v>5907</v>
      </c>
      <c r="AF458" s="92" t="s">
        <v>37</v>
      </c>
      <c r="AG458" s="743">
        <v>44277</v>
      </c>
      <c r="AH458" s="92"/>
      <c r="AI458" s="86"/>
      <c r="AJ458" s="1108"/>
    </row>
    <row r="459" spans="1:36" ht="65.25" thickBot="1" x14ac:dyDescent="0.3">
      <c r="A459" s="736"/>
      <c r="B459" s="516"/>
      <c r="C459" s="27"/>
      <c r="D459" s="570"/>
      <c r="E459" s="570"/>
      <c r="F459" s="502"/>
      <c r="G459" s="502"/>
      <c r="H459" s="27"/>
      <c r="I459" s="502"/>
      <c r="J459" s="639"/>
      <c r="K459" s="263">
        <v>868</v>
      </c>
      <c r="L459" s="467" t="s">
        <v>5913</v>
      </c>
      <c r="M459" s="918">
        <v>1276668.1439</v>
      </c>
      <c r="N459" s="918">
        <v>4971398.1381000001</v>
      </c>
      <c r="O459" s="210" t="s">
        <v>41</v>
      </c>
      <c r="P459" s="210">
        <v>1</v>
      </c>
      <c r="Q459" s="467" t="s">
        <v>2156</v>
      </c>
      <c r="R459" s="400" t="s">
        <v>2156</v>
      </c>
      <c r="S459" s="428" t="s">
        <v>47</v>
      </c>
      <c r="T459" s="243" t="s">
        <v>5918</v>
      </c>
      <c r="U459" s="86">
        <v>23000</v>
      </c>
      <c r="V459" s="86"/>
      <c r="W459" s="86"/>
      <c r="X459" s="86"/>
      <c r="Y459" s="86"/>
      <c r="Z459" s="86"/>
      <c r="AA459" s="86" t="s">
        <v>85</v>
      </c>
      <c r="AB459" s="86" t="s">
        <v>10</v>
      </c>
      <c r="AC459" s="86">
        <v>3</v>
      </c>
      <c r="AD459" s="92" t="s">
        <v>5920</v>
      </c>
      <c r="AE459" s="92" t="s">
        <v>7897</v>
      </c>
      <c r="AF459" s="92" t="s">
        <v>37</v>
      </c>
      <c r="AG459" s="743">
        <v>44277</v>
      </c>
      <c r="AH459" s="92"/>
      <c r="AI459" s="86"/>
      <c r="AJ459" s="1108"/>
    </row>
    <row r="460" spans="1:36" ht="39.75" thickBot="1" x14ac:dyDescent="0.3">
      <c r="A460" s="736"/>
      <c r="B460" s="516"/>
      <c r="C460" s="27"/>
      <c r="D460" s="570"/>
      <c r="E460" s="570"/>
      <c r="F460" s="502"/>
      <c r="G460" s="502"/>
      <c r="H460" s="27"/>
      <c r="I460" s="502"/>
      <c r="J460" s="639"/>
      <c r="K460" s="263">
        <v>869</v>
      </c>
      <c r="L460" s="467" t="s">
        <v>5914</v>
      </c>
      <c r="M460" s="918">
        <v>1275878.4756</v>
      </c>
      <c r="N460" s="918">
        <v>4970598.4052999998</v>
      </c>
      <c r="O460" s="210" t="s">
        <v>41</v>
      </c>
      <c r="P460" s="210">
        <v>1</v>
      </c>
      <c r="Q460" s="467" t="s">
        <v>2156</v>
      </c>
      <c r="R460" s="400" t="s">
        <v>2156</v>
      </c>
      <c r="S460" s="428" t="s">
        <v>47</v>
      </c>
      <c r="T460" s="243" t="s">
        <v>5918</v>
      </c>
      <c r="U460" s="86">
        <v>23000</v>
      </c>
      <c r="V460" s="86"/>
      <c r="W460" s="86"/>
      <c r="X460" s="86"/>
      <c r="Y460" s="86"/>
      <c r="Z460" s="86"/>
      <c r="AA460" s="86" t="s">
        <v>85</v>
      </c>
      <c r="AB460" s="86" t="s">
        <v>10</v>
      </c>
      <c r="AC460" s="86">
        <v>3</v>
      </c>
      <c r="AD460" s="92" t="s">
        <v>5922</v>
      </c>
      <c r="AE460" s="92" t="s">
        <v>7897</v>
      </c>
      <c r="AF460" s="92" t="s">
        <v>37</v>
      </c>
      <c r="AG460" s="743">
        <v>44277</v>
      </c>
      <c r="AH460" s="92"/>
      <c r="AI460" s="86"/>
      <c r="AJ460" s="1108"/>
    </row>
    <row r="461" spans="1:36" ht="65.25" thickBot="1" x14ac:dyDescent="0.3">
      <c r="A461" s="736"/>
      <c r="B461" s="516"/>
      <c r="C461" s="27"/>
      <c r="D461" s="570"/>
      <c r="E461" s="570"/>
      <c r="F461" s="502"/>
      <c r="G461" s="502"/>
      <c r="H461" s="27"/>
      <c r="I461" s="502"/>
      <c r="J461" s="639"/>
      <c r="K461" s="263">
        <v>870</v>
      </c>
      <c r="L461" s="467" t="s">
        <v>5915</v>
      </c>
      <c r="M461" s="918">
        <v>1275170.5545000001</v>
      </c>
      <c r="N461" s="918">
        <v>4969603.1392000001</v>
      </c>
      <c r="O461" s="210" t="s">
        <v>41</v>
      </c>
      <c r="P461" s="210">
        <v>1</v>
      </c>
      <c r="Q461" s="467" t="s">
        <v>2156</v>
      </c>
      <c r="R461" s="400" t="s">
        <v>2156</v>
      </c>
      <c r="S461" s="428" t="s">
        <v>47</v>
      </c>
      <c r="T461" s="243" t="s">
        <v>5918</v>
      </c>
      <c r="U461" s="86">
        <v>23000</v>
      </c>
      <c r="V461" s="86"/>
      <c r="W461" s="86"/>
      <c r="X461" s="86"/>
      <c r="Y461" s="86"/>
      <c r="Z461" s="86"/>
      <c r="AA461" s="86" t="s">
        <v>85</v>
      </c>
      <c r="AB461" s="86" t="s">
        <v>10</v>
      </c>
      <c r="AC461" s="86">
        <v>3</v>
      </c>
      <c r="AD461" s="92" t="s">
        <v>5921</v>
      </c>
      <c r="AE461" s="92" t="s">
        <v>7897</v>
      </c>
      <c r="AF461" s="92" t="s">
        <v>37</v>
      </c>
      <c r="AG461" s="743">
        <v>44277</v>
      </c>
      <c r="AH461" s="92"/>
      <c r="AI461" s="86"/>
      <c r="AJ461" s="1108"/>
    </row>
    <row r="462" spans="1:36" ht="39.75" thickBot="1" x14ac:dyDescent="0.3">
      <c r="A462" s="736"/>
      <c r="B462" s="516"/>
      <c r="C462" s="27"/>
      <c r="D462" s="570"/>
      <c r="E462" s="570"/>
      <c r="F462" s="502"/>
      <c r="G462" s="502"/>
      <c r="H462" s="27"/>
      <c r="I462" s="502"/>
      <c r="J462" s="639"/>
      <c r="K462" s="263">
        <v>871</v>
      </c>
      <c r="L462" s="467" t="s">
        <v>5916</v>
      </c>
      <c r="M462" s="918">
        <v>1273576.067</v>
      </c>
      <c r="N462" s="918">
        <v>4967074.3842000002</v>
      </c>
      <c r="O462" s="210" t="s">
        <v>41</v>
      </c>
      <c r="P462" s="210">
        <v>1</v>
      </c>
      <c r="Q462" s="467" t="s">
        <v>2156</v>
      </c>
      <c r="R462" s="400" t="s">
        <v>2156</v>
      </c>
      <c r="S462" s="428" t="s">
        <v>47</v>
      </c>
      <c r="T462" s="243" t="s">
        <v>5918</v>
      </c>
      <c r="U462" s="86">
        <v>23000</v>
      </c>
      <c r="V462" s="86"/>
      <c r="W462" s="86"/>
      <c r="X462" s="86"/>
      <c r="Y462" s="86"/>
      <c r="Z462" s="86"/>
      <c r="AA462" s="86" t="s">
        <v>85</v>
      </c>
      <c r="AB462" s="86" t="s">
        <v>10</v>
      </c>
      <c r="AC462" s="86">
        <v>3</v>
      </c>
      <c r="AD462" s="92" t="s">
        <v>5922</v>
      </c>
      <c r="AE462" s="92" t="s">
        <v>7897</v>
      </c>
      <c r="AF462" s="92" t="s">
        <v>37</v>
      </c>
      <c r="AG462" s="743">
        <v>44277</v>
      </c>
      <c r="AH462" s="92"/>
      <c r="AI462" s="86"/>
      <c r="AJ462" s="1108"/>
    </row>
    <row r="463" spans="1:36" ht="39.75" thickBot="1" x14ac:dyDescent="0.3">
      <c r="A463" s="736"/>
      <c r="B463" s="516"/>
      <c r="C463" s="27"/>
      <c r="D463" s="570"/>
      <c r="E463" s="570"/>
      <c r="F463" s="502"/>
      <c r="G463" s="502"/>
      <c r="H463" s="27"/>
      <c r="I463" s="502"/>
      <c r="J463" s="639"/>
      <c r="K463" s="263">
        <v>872</v>
      </c>
      <c r="L463" s="467" t="s">
        <v>5917</v>
      </c>
      <c r="M463" s="918">
        <v>1272770.7041</v>
      </c>
      <c r="N463" s="918">
        <v>4965793.6695999997</v>
      </c>
      <c r="O463" s="210" t="s">
        <v>41</v>
      </c>
      <c r="P463" s="210">
        <v>1</v>
      </c>
      <c r="Q463" s="467" t="s">
        <v>2156</v>
      </c>
      <c r="R463" s="400" t="s">
        <v>2156</v>
      </c>
      <c r="S463" s="428" t="s">
        <v>47</v>
      </c>
      <c r="T463" s="243" t="s">
        <v>5918</v>
      </c>
      <c r="U463" s="86">
        <v>23000</v>
      </c>
      <c r="V463" s="86"/>
      <c r="W463" s="86"/>
      <c r="X463" s="86"/>
      <c r="Y463" s="86"/>
      <c r="Z463" s="86"/>
      <c r="AA463" s="86" t="s">
        <v>85</v>
      </c>
      <c r="AB463" s="86" t="s">
        <v>10</v>
      </c>
      <c r="AC463" s="86">
        <v>3</v>
      </c>
      <c r="AD463" s="92" t="s">
        <v>5922</v>
      </c>
      <c r="AE463" s="92" t="s">
        <v>7897</v>
      </c>
      <c r="AF463" s="92" t="s">
        <v>37</v>
      </c>
      <c r="AG463" s="743">
        <v>44277</v>
      </c>
      <c r="AH463" s="92"/>
      <c r="AI463" s="86"/>
      <c r="AJ463" s="1108"/>
    </row>
    <row r="464" spans="1:36" ht="39.75" thickBot="1" x14ac:dyDescent="0.3">
      <c r="A464" s="635" t="s">
        <v>1628</v>
      </c>
      <c r="B464" s="181" t="s">
        <v>1628</v>
      </c>
      <c r="C464" s="125">
        <v>317</v>
      </c>
      <c r="D464" s="585" t="s">
        <v>53</v>
      </c>
      <c r="E464" s="585"/>
      <c r="F464" s="126"/>
      <c r="G464" s="126"/>
      <c r="H464" s="125"/>
      <c r="I464" s="126"/>
      <c r="J464" s="247"/>
      <c r="K464" s="89">
        <v>1055</v>
      </c>
      <c r="L464" s="396" t="s">
        <v>7057</v>
      </c>
      <c r="M464" s="945">
        <v>1782773.8043</v>
      </c>
      <c r="N464" s="265">
        <v>5482963.9117000001</v>
      </c>
      <c r="O464" s="84" t="s">
        <v>41</v>
      </c>
      <c r="P464" s="84">
        <v>1</v>
      </c>
      <c r="Q464" s="396" t="s">
        <v>2156</v>
      </c>
      <c r="R464" s="90" t="s">
        <v>2156</v>
      </c>
      <c r="S464" s="683" t="s">
        <v>47</v>
      </c>
      <c r="T464" s="329" t="s">
        <v>7058</v>
      </c>
      <c r="U464" s="86">
        <v>1000</v>
      </c>
      <c r="V464" s="86"/>
      <c r="W464" s="86"/>
      <c r="X464" s="86"/>
      <c r="Y464" s="86"/>
      <c r="Z464" s="86"/>
      <c r="AA464" s="86" t="s">
        <v>85</v>
      </c>
      <c r="AB464" s="86" t="s">
        <v>16</v>
      </c>
      <c r="AC464" s="86">
        <v>3</v>
      </c>
      <c r="AD464" s="92" t="s">
        <v>7473</v>
      </c>
      <c r="AE464" s="92" t="s">
        <v>6979</v>
      </c>
      <c r="AF464" s="92" t="s">
        <v>1380</v>
      </c>
      <c r="AG464" s="743">
        <v>44032</v>
      </c>
      <c r="AH464" s="92"/>
      <c r="AI464" s="743">
        <v>44348</v>
      </c>
      <c r="AJ464" s="1108" t="s">
        <v>3565</v>
      </c>
    </row>
    <row r="465" spans="1:36" ht="78" thickBot="1" x14ac:dyDescent="0.3">
      <c r="A465" s="339"/>
      <c r="B465" s="116"/>
      <c r="C465" s="95"/>
      <c r="D465" s="567"/>
      <c r="E465" s="567"/>
      <c r="F465" s="108"/>
      <c r="G465" s="108"/>
      <c r="H465" s="95"/>
      <c r="I465" s="108"/>
      <c r="J465" s="122"/>
      <c r="K465" s="190">
        <v>1056</v>
      </c>
      <c r="L465" s="357" t="s">
        <v>7059</v>
      </c>
      <c r="M465" s="968">
        <v>1785509.8672</v>
      </c>
      <c r="N465" s="912">
        <v>5484849.1046000002</v>
      </c>
      <c r="O465" s="96" t="s">
        <v>41</v>
      </c>
      <c r="P465" s="96">
        <v>1</v>
      </c>
      <c r="Q465" s="357" t="s">
        <v>2156</v>
      </c>
      <c r="R465" s="100" t="s">
        <v>2156</v>
      </c>
      <c r="S465" s="655" t="s">
        <v>47</v>
      </c>
      <c r="T465" s="335" t="s">
        <v>7060</v>
      </c>
      <c r="U465" s="25">
        <v>1000</v>
      </c>
      <c r="V465" s="25"/>
      <c r="W465" s="25"/>
      <c r="X465" s="25"/>
      <c r="Y465" s="25"/>
      <c r="Z465" s="25"/>
      <c r="AA465" s="25" t="s">
        <v>85</v>
      </c>
      <c r="AB465" s="25" t="s">
        <v>16</v>
      </c>
      <c r="AC465" s="25">
        <v>3</v>
      </c>
      <c r="AD465" s="52" t="s">
        <v>7472</v>
      </c>
      <c r="AE465" s="52" t="s">
        <v>6979</v>
      </c>
      <c r="AF465" s="52" t="s">
        <v>1380</v>
      </c>
      <c r="AG465" s="745">
        <v>44183</v>
      </c>
      <c r="AH465" s="52"/>
      <c r="AI465" s="745">
        <v>44348</v>
      </c>
      <c r="AJ465" s="653" t="s">
        <v>3565</v>
      </c>
    </row>
    <row r="466" spans="1:36" ht="39" x14ac:dyDescent="0.25">
      <c r="A466" s="487" t="s">
        <v>5908</v>
      </c>
      <c r="B466" s="128" t="s">
        <v>7667</v>
      </c>
      <c r="C466" s="72">
        <v>809</v>
      </c>
      <c r="D466" s="586" t="s">
        <v>52</v>
      </c>
      <c r="E466" s="586" t="s">
        <v>53</v>
      </c>
      <c r="F466" s="129"/>
      <c r="G466" s="129"/>
      <c r="H466" s="72"/>
      <c r="I466" s="129"/>
      <c r="J466" s="381"/>
      <c r="K466" s="187">
        <v>865</v>
      </c>
      <c r="L466" s="73" t="s">
        <v>5911</v>
      </c>
      <c r="M466" s="914">
        <v>1285854.2434</v>
      </c>
      <c r="N466" s="914">
        <v>5028265.574</v>
      </c>
      <c r="O466" s="72" t="s">
        <v>41</v>
      </c>
      <c r="P466" s="72">
        <v>2</v>
      </c>
      <c r="Q466" s="73" t="s">
        <v>2156</v>
      </c>
      <c r="R466" s="74" t="s">
        <v>2156</v>
      </c>
      <c r="S466" s="38" t="s">
        <v>47</v>
      </c>
      <c r="T466" s="39" t="s">
        <v>5902</v>
      </c>
      <c r="U466" s="31"/>
      <c r="V466" s="31"/>
      <c r="W466" s="31"/>
      <c r="X466" s="31"/>
      <c r="Y466" s="31"/>
      <c r="Z466" s="31"/>
      <c r="AA466" s="31" t="s">
        <v>85</v>
      </c>
      <c r="AB466" s="31" t="s">
        <v>10</v>
      </c>
      <c r="AC466" s="31">
        <v>3</v>
      </c>
      <c r="AD466" s="40" t="s">
        <v>5903</v>
      </c>
      <c r="AE466" s="40" t="s">
        <v>7901</v>
      </c>
      <c r="AF466" s="40" t="s">
        <v>37</v>
      </c>
      <c r="AG466" s="744">
        <v>44277</v>
      </c>
      <c r="AH466" s="40"/>
      <c r="AI466" s="31"/>
      <c r="AJ466" s="652"/>
    </row>
    <row r="467" spans="1:36" ht="39.75" thickBot="1" x14ac:dyDescent="0.3">
      <c r="A467" s="489"/>
      <c r="B467" s="133"/>
      <c r="C467" s="78"/>
      <c r="D467" s="569"/>
      <c r="E467" s="569"/>
      <c r="F467" s="119"/>
      <c r="G467" s="119"/>
      <c r="H467" s="78"/>
      <c r="I467" s="119"/>
      <c r="J467" s="429"/>
      <c r="K467" s="192"/>
      <c r="L467" s="79"/>
      <c r="M467" s="916"/>
      <c r="N467" s="916"/>
      <c r="O467" s="78"/>
      <c r="P467" s="78"/>
      <c r="Q467" s="79"/>
      <c r="R467" s="80"/>
      <c r="S467" s="48" t="s">
        <v>91</v>
      </c>
      <c r="T467" s="49" t="s">
        <v>5902</v>
      </c>
      <c r="U467" s="25"/>
      <c r="V467" s="25"/>
      <c r="W467" s="25"/>
      <c r="X467" s="25"/>
      <c r="Y467" s="25"/>
      <c r="Z467" s="25"/>
      <c r="AA467" s="25" t="s">
        <v>85</v>
      </c>
      <c r="AB467" s="25" t="s">
        <v>10</v>
      </c>
      <c r="AC467" s="25">
        <v>3</v>
      </c>
      <c r="AD467" s="52" t="s">
        <v>5903</v>
      </c>
      <c r="AE467" s="52" t="s">
        <v>7901</v>
      </c>
      <c r="AF467" s="52" t="s">
        <v>37</v>
      </c>
      <c r="AG467" s="745">
        <v>44277</v>
      </c>
      <c r="AH467" s="52"/>
      <c r="AI467" s="25"/>
      <c r="AJ467" s="653"/>
    </row>
    <row r="468" spans="1:36" ht="64.5" x14ac:dyDescent="0.25">
      <c r="A468" s="524" t="s">
        <v>5908</v>
      </c>
      <c r="B468" s="81" t="s">
        <v>5895</v>
      </c>
      <c r="C468" s="26">
        <v>810</v>
      </c>
      <c r="D468" s="594" t="s">
        <v>52</v>
      </c>
      <c r="E468" s="594" t="s">
        <v>53</v>
      </c>
      <c r="F468" s="491" t="s">
        <v>5923</v>
      </c>
      <c r="G468" s="1120" t="s">
        <v>5928</v>
      </c>
      <c r="H468" s="26" t="s">
        <v>85</v>
      </c>
      <c r="I468" s="58" t="s">
        <v>5929</v>
      </c>
      <c r="J468" s="29" t="s">
        <v>5926</v>
      </c>
      <c r="K468" s="490">
        <v>864</v>
      </c>
      <c r="L468" s="58" t="s">
        <v>5909</v>
      </c>
      <c r="M468" s="932">
        <v>1277533.422</v>
      </c>
      <c r="N468" s="932">
        <v>5007715.1847000001</v>
      </c>
      <c r="O468" s="26" t="s">
        <v>41</v>
      </c>
      <c r="P468" s="26">
        <v>3</v>
      </c>
      <c r="Q468" s="58" t="s">
        <v>2156</v>
      </c>
      <c r="R468" s="59" t="s">
        <v>2156</v>
      </c>
      <c r="S468" s="38" t="s">
        <v>47</v>
      </c>
      <c r="T468" s="39" t="s">
        <v>5896</v>
      </c>
      <c r="U468" s="31"/>
      <c r="V468" s="31"/>
      <c r="W468" s="31"/>
      <c r="X468" s="31"/>
      <c r="Y468" s="31"/>
      <c r="Z468" s="31"/>
      <c r="AA468" s="31" t="s">
        <v>16</v>
      </c>
      <c r="AB468" s="31" t="s">
        <v>10</v>
      </c>
      <c r="AC468" s="31">
        <v>2</v>
      </c>
      <c r="AD468" s="40" t="s">
        <v>5899</v>
      </c>
      <c r="AE468" s="40" t="s">
        <v>7899</v>
      </c>
      <c r="AF468" s="40" t="s">
        <v>37</v>
      </c>
      <c r="AG468" s="744">
        <v>44277</v>
      </c>
      <c r="AH468" s="40"/>
      <c r="AI468" s="31"/>
      <c r="AJ468" s="652"/>
    </row>
    <row r="469" spans="1:36" ht="39" x14ac:dyDescent="0.25">
      <c r="A469" s="736"/>
      <c r="B469" s="516"/>
      <c r="C469" s="27"/>
      <c r="D469" s="570"/>
      <c r="E469" s="570"/>
      <c r="F469" s="502"/>
      <c r="G469" s="502"/>
      <c r="H469" s="27"/>
      <c r="I469" s="502"/>
      <c r="J469" s="639"/>
      <c r="K469" s="501"/>
      <c r="L469" s="60"/>
      <c r="M469" s="933"/>
      <c r="N469" s="933"/>
      <c r="O469" s="27"/>
      <c r="P469" s="27"/>
      <c r="Q469" s="60"/>
      <c r="R469" s="61"/>
      <c r="S469" s="42" t="s">
        <v>91</v>
      </c>
      <c r="T469" s="43" t="s">
        <v>5897</v>
      </c>
      <c r="U469" s="24"/>
      <c r="V469" s="24"/>
      <c r="W469" s="24"/>
      <c r="X469" s="24"/>
      <c r="Y469" s="24"/>
      <c r="Z469" s="24"/>
      <c r="AA469" s="24" t="s">
        <v>16</v>
      </c>
      <c r="AB469" s="24" t="s">
        <v>10</v>
      </c>
      <c r="AC469" s="24">
        <v>2</v>
      </c>
      <c r="AD469" s="46" t="s">
        <v>5900</v>
      </c>
      <c r="AE469" s="46" t="s">
        <v>7899</v>
      </c>
      <c r="AF469" s="46" t="s">
        <v>37</v>
      </c>
      <c r="AG469" s="746">
        <v>44277</v>
      </c>
      <c r="AH469" s="46"/>
      <c r="AI469" s="24"/>
      <c r="AJ469" s="1107"/>
    </row>
    <row r="470" spans="1:36" ht="52.5" thickBot="1" x14ac:dyDescent="0.3">
      <c r="A470" s="736"/>
      <c r="B470" s="516"/>
      <c r="C470" s="27"/>
      <c r="D470" s="570"/>
      <c r="E470" s="570"/>
      <c r="F470" s="502"/>
      <c r="G470" s="502"/>
      <c r="H470" s="27"/>
      <c r="I470" s="502"/>
      <c r="J470" s="639"/>
      <c r="K470" s="503"/>
      <c r="L470" s="62"/>
      <c r="M470" s="923"/>
      <c r="N470" s="923"/>
      <c r="O470" s="28"/>
      <c r="P470" s="28"/>
      <c r="Q470" s="62"/>
      <c r="R470" s="63"/>
      <c r="S470" s="48" t="s">
        <v>92</v>
      </c>
      <c r="T470" s="49" t="s">
        <v>5898</v>
      </c>
      <c r="U470" s="25"/>
      <c r="V470" s="25"/>
      <c r="W470" s="25"/>
      <c r="X470" s="25"/>
      <c r="Y470" s="25"/>
      <c r="Z470" s="25"/>
      <c r="AA470" s="25" t="s">
        <v>16</v>
      </c>
      <c r="AB470" s="25" t="s">
        <v>10</v>
      </c>
      <c r="AC470" s="25">
        <v>2</v>
      </c>
      <c r="AD470" s="52" t="s">
        <v>5901</v>
      </c>
      <c r="AE470" s="52" t="s">
        <v>7899</v>
      </c>
      <c r="AF470" s="52" t="s">
        <v>37</v>
      </c>
      <c r="AG470" s="745">
        <v>44277</v>
      </c>
      <c r="AH470" s="52"/>
      <c r="AI470" s="25"/>
      <c r="AJ470" s="653"/>
    </row>
    <row r="471" spans="1:36" ht="52.5" thickBot="1" x14ac:dyDescent="0.3">
      <c r="A471" s="790"/>
      <c r="B471" s="777"/>
      <c r="C471" s="28"/>
      <c r="D471" s="575"/>
      <c r="E471" s="575"/>
      <c r="F471" s="504"/>
      <c r="G471" s="504"/>
      <c r="H471" s="28"/>
      <c r="I471" s="504"/>
      <c r="J471" s="608"/>
      <c r="K471" s="263">
        <v>866</v>
      </c>
      <c r="L471" s="467" t="s">
        <v>5912</v>
      </c>
      <c r="M471" s="918">
        <v>1280747.4336000001</v>
      </c>
      <c r="N471" s="918">
        <v>5016605.2980000004</v>
      </c>
      <c r="O471" s="210"/>
      <c r="P471" s="210">
        <v>1</v>
      </c>
      <c r="Q471" s="467"/>
      <c r="R471" s="400"/>
      <c r="S471" s="428" t="s">
        <v>47</v>
      </c>
      <c r="T471" s="243" t="s">
        <v>5902</v>
      </c>
      <c r="U471" s="86"/>
      <c r="V471" s="86"/>
      <c r="W471" s="86"/>
      <c r="X471" s="86"/>
      <c r="Y471" s="86"/>
      <c r="Z471" s="86"/>
      <c r="AA471" s="86" t="s">
        <v>85</v>
      </c>
      <c r="AB471" s="86" t="s">
        <v>10</v>
      </c>
      <c r="AC471" s="86">
        <v>3</v>
      </c>
      <c r="AD471" s="92" t="s">
        <v>5904</v>
      </c>
      <c r="AE471" s="92" t="s">
        <v>7901</v>
      </c>
      <c r="AF471" s="92" t="s">
        <v>37</v>
      </c>
      <c r="AG471" s="743">
        <v>44277</v>
      </c>
      <c r="AH471" s="92"/>
      <c r="AI471" s="86"/>
      <c r="AJ471" s="1108"/>
    </row>
    <row r="472" spans="1:36" ht="77.25" x14ac:dyDescent="0.25">
      <c r="A472" s="341" t="s">
        <v>1851</v>
      </c>
      <c r="B472" s="181" t="s">
        <v>1851</v>
      </c>
      <c r="C472" s="125">
        <v>30</v>
      </c>
      <c r="D472" s="585" t="s">
        <v>57</v>
      </c>
      <c r="E472" s="585"/>
      <c r="F472" s="126"/>
      <c r="G472" s="126"/>
      <c r="H472" s="125"/>
      <c r="I472" s="126"/>
      <c r="J472" s="247"/>
      <c r="K472" s="189">
        <v>797</v>
      </c>
      <c r="L472" s="181" t="s">
        <v>1856</v>
      </c>
      <c r="M472" s="911">
        <v>1667636.0414</v>
      </c>
      <c r="N472" s="978">
        <v>5638928.4309999999</v>
      </c>
      <c r="O472" s="126" t="s">
        <v>4573</v>
      </c>
      <c r="P472" s="125">
        <v>4</v>
      </c>
      <c r="Q472" s="355" t="s">
        <v>4574</v>
      </c>
      <c r="R472" s="134" t="s">
        <v>16</v>
      </c>
      <c r="S472" s="38" t="s">
        <v>47</v>
      </c>
      <c r="T472" s="39" t="s">
        <v>4565</v>
      </c>
      <c r="U472" s="31">
        <v>7800</v>
      </c>
      <c r="V472" s="31">
        <v>7000</v>
      </c>
      <c r="W472" s="31">
        <v>8600</v>
      </c>
      <c r="X472" s="31"/>
      <c r="Y472" s="31"/>
      <c r="Z472" s="31"/>
      <c r="AA472" s="31" t="s">
        <v>85</v>
      </c>
      <c r="AB472" s="31" t="s">
        <v>10</v>
      </c>
      <c r="AC472" s="31">
        <v>3</v>
      </c>
      <c r="AD472" s="40" t="s">
        <v>4571</v>
      </c>
      <c r="AE472" s="40" t="s">
        <v>1868</v>
      </c>
      <c r="AF472" s="40" t="s">
        <v>37</v>
      </c>
      <c r="AG472" s="744">
        <v>44215</v>
      </c>
      <c r="AH472" s="40"/>
      <c r="AI472" s="31"/>
      <c r="AJ472" s="652"/>
    </row>
    <row r="473" spans="1:36" ht="77.25" x14ac:dyDescent="0.25">
      <c r="A473" s="339"/>
      <c r="B473" s="116"/>
      <c r="C473" s="95"/>
      <c r="D473" s="567"/>
      <c r="E473" s="567"/>
      <c r="F473" s="108"/>
      <c r="G473" s="108"/>
      <c r="H473" s="95"/>
      <c r="I473" s="108"/>
      <c r="J473" s="122"/>
      <c r="K473" s="191"/>
      <c r="L473" s="359"/>
      <c r="M473" s="913"/>
      <c r="N473" s="913"/>
      <c r="O473" s="95"/>
      <c r="P473" s="95"/>
      <c r="Q473" s="359"/>
      <c r="R473" s="98"/>
      <c r="S473" s="42" t="s">
        <v>91</v>
      </c>
      <c r="T473" s="43" t="s">
        <v>4568</v>
      </c>
      <c r="U473" s="24"/>
      <c r="V473" s="24">
        <v>15135</v>
      </c>
      <c r="W473" s="24">
        <v>15892</v>
      </c>
      <c r="X473" s="24"/>
      <c r="Y473" s="24">
        <v>8200</v>
      </c>
      <c r="Z473" s="24">
        <v>8720</v>
      </c>
      <c r="AA473" s="24" t="s">
        <v>16</v>
      </c>
      <c r="AB473" s="24" t="s">
        <v>10</v>
      </c>
      <c r="AC473" s="24">
        <v>2</v>
      </c>
      <c r="AD473" s="46" t="s">
        <v>4569</v>
      </c>
      <c r="AE473" s="46" t="s">
        <v>1868</v>
      </c>
      <c r="AF473" s="46" t="s">
        <v>37</v>
      </c>
      <c r="AG473" s="746">
        <v>44215</v>
      </c>
      <c r="AH473" s="46"/>
      <c r="AI473" s="24"/>
      <c r="AJ473" s="1107"/>
    </row>
    <row r="474" spans="1:36" ht="90" x14ac:dyDescent="0.25">
      <c r="A474" s="339"/>
      <c r="B474" s="116"/>
      <c r="C474" s="95"/>
      <c r="D474" s="567"/>
      <c r="E474" s="567"/>
      <c r="F474" s="108"/>
      <c r="G474" s="108"/>
      <c r="H474" s="95"/>
      <c r="I474" s="108"/>
      <c r="J474" s="122"/>
      <c r="K474" s="191"/>
      <c r="L474" s="359"/>
      <c r="M474" s="913"/>
      <c r="N474" s="913"/>
      <c r="O474" s="95"/>
      <c r="P474" s="95"/>
      <c r="Q474" s="359"/>
      <c r="R474" s="98"/>
      <c r="S474" s="42" t="s">
        <v>92</v>
      </c>
      <c r="T474" s="43" t="s">
        <v>4566</v>
      </c>
      <c r="U474" s="24"/>
      <c r="V474" s="24">
        <v>20220</v>
      </c>
      <c r="W474" s="24">
        <v>19848</v>
      </c>
      <c r="X474" s="24"/>
      <c r="Y474" s="24">
        <v>15135</v>
      </c>
      <c r="Z474" s="24">
        <v>15892</v>
      </c>
      <c r="AA474" s="24" t="s">
        <v>16</v>
      </c>
      <c r="AB474" s="24" t="s">
        <v>16</v>
      </c>
      <c r="AC474" s="24">
        <v>2</v>
      </c>
      <c r="AD474" s="46" t="s">
        <v>4567</v>
      </c>
      <c r="AE474" s="46" t="s">
        <v>1868</v>
      </c>
      <c r="AF474" s="46" t="s">
        <v>37</v>
      </c>
      <c r="AG474" s="746">
        <v>44215</v>
      </c>
      <c r="AH474" s="46"/>
      <c r="AI474" s="24"/>
      <c r="AJ474" s="1107"/>
    </row>
    <row r="475" spans="1:36" ht="52.5" thickBot="1" x14ac:dyDescent="0.3">
      <c r="A475" s="336"/>
      <c r="B475" s="196"/>
      <c r="C475" s="96"/>
      <c r="D475" s="566"/>
      <c r="E475" s="566"/>
      <c r="F475" s="107"/>
      <c r="G475" s="107"/>
      <c r="H475" s="96"/>
      <c r="I475" s="107"/>
      <c r="J475" s="123"/>
      <c r="K475" s="190"/>
      <c r="L475" s="357"/>
      <c r="M475" s="912"/>
      <c r="N475" s="912"/>
      <c r="O475" s="96"/>
      <c r="P475" s="96"/>
      <c r="Q475" s="357"/>
      <c r="R475" s="100"/>
      <c r="S475" s="48" t="s">
        <v>99</v>
      </c>
      <c r="T475" s="49" t="s">
        <v>4570</v>
      </c>
      <c r="U475" s="25">
        <v>24000</v>
      </c>
      <c r="V475" s="25"/>
      <c r="W475" s="25"/>
      <c r="X475" s="25"/>
      <c r="Y475" s="25">
        <v>22600</v>
      </c>
      <c r="Z475" s="25">
        <v>23240</v>
      </c>
      <c r="AA475" s="25" t="s">
        <v>16</v>
      </c>
      <c r="AB475" s="25" t="s">
        <v>16</v>
      </c>
      <c r="AC475" s="25">
        <v>2</v>
      </c>
      <c r="AD475" s="52" t="s">
        <v>4572</v>
      </c>
      <c r="AE475" s="52" t="s">
        <v>1868</v>
      </c>
      <c r="AF475" s="52" t="s">
        <v>37</v>
      </c>
      <c r="AG475" s="745">
        <v>44215</v>
      </c>
      <c r="AH475" s="52"/>
      <c r="AI475" s="25"/>
      <c r="AJ475" s="653"/>
    </row>
    <row r="476" spans="1:36" ht="51.75" x14ac:dyDescent="0.25">
      <c r="A476" s="802" t="s">
        <v>7920</v>
      </c>
      <c r="B476" s="128" t="s">
        <v>4984</v>
      </c>
      <c r="C476" s="72">
        <v>356</v>
      </c>
      <c r="D476" s="586" t="s">
        <v>52</v>
      </c>
      <c r="E476" s="586"/>
      <c r="F476" s="129"/>
      <c r="G476" s="129"/>
      <c r="H476" s="72"/>
      <c r="I476" s="129"/>
      <c r="J476" s="381"/>
      <c r="K476" s="187">
        <v>4044</v>
      </c>
      <c r="L476" s="73" t="s">
        <v>6571</v>
      </c>
      <c r="M476" s="914">
        <v>2060632.989139</v>
      </c>
      <c r="N476" s="914">
        <v>5728171.957831</v>
      </c>
      <c r="O476" s="129" t="s">
        <v>7919</v>
      </c>
      <c r="P476" s="72">
        <v>3</v>
      </c>
      <c r="Q476" s="73" t="s">
        <v>7930</v>
      </c>
      <c r="R476" s="74" t="s">
        <v>16</v>
      </c>
      <c r="S476" s="656" t="s">
        <v>47</v>
      </c>
      <c r="T476" s="340" t="s">
        <v>6572</v>
      </c>
      <c r="U476" s="31">
        <v>420</v>
      </c>
      <c r="V476" s="31"/>
      <c r="W476" s="31"/>
      <c r="X476" s="31">
        <v>250</v>
      </c>
      <c r="Y476" s="31"/>
      <c r="Z476" s="31"/>
      <c r="AA476" s="31" t="s">
        <v>10</v>
      </c>
      <c r="AB476" s="31" t="s">
        <v>16</v>
      </c>
      <c r="AC476" s="31">
        <v>2</v>
      </c>
      <c r="AD476" s="40" t="s">
        <v>6588</v>
      </c>
      <c r="AE476" s="40" t="s">
        <v>911</v>
      </c>
      <c r="AF476" s="40" t="s">
        <v>6372</v>
      </c>
      <c r="AG476" s="744">
        <v>44252</v>
      </c>
      <c r="AH476" s="40"/>
      <c r="AI476" s="744">
        <v>44326</v>
      </c>
      <c r="AJ476" s="652" t="s">
        <v>37</v>
      </c>
    </row>
    <row r="477" spans="1:36" ht="64.5" x14ac:dyDescent="0.25">
      <c r="A477" s="488"/>
      <c r="B477" s="131"/>
      <c r="C477" s="75"/>
      <c r="D477" s="568"/>
      <c r="E477" s="568"/>
      <c r="F477" s="118"/>
      <c r="G477" s="118"/>
      <c r="H477" s="75"/>
      <c r="I477" s="118"/>
      <c r="J477" s="121"/>
      <c r="K477" s="188"/>
      <c r="L477" s="76"/>
      <c r="M477" s="915"/>
      <c r="N477" s="915"/>
      <c r="O477" s="75"/>
      <c r="P477" s="75"/>
      <c r="Q477" s="76"/>
      <c r="R477" s="77"/>
      <c r="S477" s="658" t="s">
        <v>91</v>
      </c>
      <c r="T477" s="179" t="s">
        <v>6573</v>
      </c>
      <c r="U477" s="24">
        <v>1100</v>
      </c>
      <c r="V477" s="24"/>
      <c r="W477" s="24"/>
      <c r="X477" s="24">
        <v>910</v>
      </c>
      <c r="Y477" s="24"/>
      <c r="Z477" s="24"/>
      <c r="AA477" s="24" t="s">
        <v>10</v>
      </c>
      <c r="AB477" s="24" t="s">
        <v>16</v>
      </c>
      <c r="AC477" s="24">
        <v>2</v>
      </c>
      <c r="AD477" s="46" t="s">
        <v>6589</v>
      </c>
      <c r="AE477" s="46" t="s">
        <v>911</v>
      </c>
      <c r="AF477" s="46" t="s">
        <v>6372</v>
      </c>
      <c r="AG477" s="746">
        <v>44252</v>
      </c>
      <c r="AH477" s="46"/>
      <c r="AI477" s="746">
        <v>44326</v>
      </c>
      <c r="AJ477" s="1107" t="s">
        <v>37</v>
      </c>
    </row>
    <row r="478" spans="1:36" ht="90.75" thickBot="1" x14ac:dyDescent="0.3">
      <c r="A478" s="488"/>
      <c r="B478" s="131"/>
      <c r="C478" s="75"/>
      <c r="D478" s="568"/>
      <c r="E478" s="568"/>
      <c r="F478" s="118"/>
      <c r="G478" s="118"/>
      <c r="H478" s="75"/>
      <c r="I478" s="118"/>
      <c r="J478" s="121"/>
      <c r="K478" s="192"/>
      <c r="L478" s="79"/>
      <c r="M478" s="916"/>
      <c r="N478" s="916"/>
      <c r="O478" s="78"/>
      <c r="P478" s="78"/>
      <c r="Q478" s="79"/>
      <c r="R478" s="80"/>
      <c r="S478" s="657" t="s">
        <v>92</v>
      </c>
      <c r="T478" s="335" t="s">
        <v>6574</v>
      </c>
      <c r="U478" s="25">
        <v>1770</v>
      </c>
      <c r="V478" s="25"/>
      <c r="W478" s="25"/>
      <c r="X478" s="25">
        <v>1710</v>
      </c>
      <c r="Y478" s="25"/>
      <c r="Z478" s="25"/>
      <c r="AA478" s="25" t="s">
        <v>10</v>
      </c>
      <c r="AB478" s="25" t="s">
        <v>16</v>
      </c>
      <c r="AC478" s="25">
        <v>2</v>
      </c>
      <c r="AD478" s="52" t="s">
        <v>6590</v>
      </c>
      <c r="AE478" s="52" t="s">
        <v>911</v>
      </c>
      <c r="AF478" s="52" t="s">
        <v>6372</v>
      </c>
      <c r="AG478" s="745">
        <v>44252</v>
      </c>
      <c r="AH478" s="52"/>
      <c r="AI478" s="745">
        <v>44326</v>
      </c>
      <c r="AJ478" s="653" t="s">
        <v>37</v>
      </c>
    </row>
    <row r="479" spans="1:36" s="551" customFormat="1" ht="39" x14ac:dyDescent="0.25">
      <c r="A479" s="341" t="s">
        <v>7920</v>
      </c>
      <c r="B479" s="181" t="s">
        <v>942</v>
      </c>
      <c r="C479" s="125">
        <v>364</v>
      </c>
      <c r="D479" s="585" t="s">
        <v>6844</v>
      </c>
      <c r="E479" s="585"/>
      <c r="F479" s="126"/>
      <c r="G479" s="126"/>
      <c r="H479" s="125"/>
      <c r="I479" s="126"/>
      <c r="J479" s="247"/>
      <c r="K479" s="189">
        <v>966</v>
      </c>
      <c r="L479" s="355" t="s">
        <v>7672</v>
      </c>
      <c r="M479" s="911">
        <v>2032383.3481999999</v>
      </c>
      <c r="N479" s="911">
        <v>5659634.9239999996</v>
      </c>
      <c r="O479" s="125" t="s">
        <v>41</v>
      </c>
      <c r="P479" s="125">
        <v>4</v>
      </c>
      <c r="Q479" s="355" t="s">
        <v>2156</v>
      </c>
      <c r="R479" s="134" t="s">
        <v>2156</v>
      </c>
      <c r="S479" s="38" t="s">
        <v>47</v>
      </c>
      <c r="T479" s="39" t="s">
        <v>7673</v>
      </c>
      <c r="U479" s="151">
        <v>300</v>
      </c>
      <c r="V479" s="151"/>
      <c r="W479" s="151"/>
      <c r="X479" s="151">
        <v>100</v>
      </c>
      <c r="Y479" s="151"/>
      <c r="Z479" s="151"/>
      <c r="AA479" s="151" t="s">
        <v>10</v>
      </c>
      <c r="AB479" s="151" t="s">
        <v>16</v>
      </c>
      <c r="AC479" s="151">
        <v>2</v>
      </c>
      <c r="AD479" s="152" t="s">
        <v>7674</v>
      </c>
      <c r="AE479" s="152" t="s">
        <v>959</v>
      </c>
      <c r="AF479" s="152" t="s">
        <v>37</v>
      </c>
      <c r="AG479" s="749">
        <v>44350</v>
      </c>
      <c r="AH479" s="152"/>
      <c r="AI479" s="151"/>
      <c r="AJ479" s="1112"/>
    </row>
    <row r="480" spans="1:36" s="551" customFormat="1" ht="64.5" x14ac:dyDescent="0.25">
      <c r="A480" s="339"/>
      <c r="B480" s="116"/>
      <c r="C480" s="95"/>
      <c r="D480" s="567"/>
      <c r="E480" s="567"/>
      <c r="F480" s="108"/>
      <c r="G480" s="108"/>
      <c r="H480" s="95"/>
      <c r="I480" s="108"/>
      <c r="J480" s="122"/>
      <c r="K480" s="191"/>
      <c r="L480" s="359"/>
      <c r="M480" s="913"/>
      <c r="N480" s="913"/>
      <c r="O480" s="95"/>
      <c r="P480" s="95"/>
      <c r="Q480" s="359"/>
      <c r="R480" s="98"/>
      <c r="S480" s="42" t="s">
        <v>91</v>
      </c>
      <c r="T480" s="43" t="s">
        <v>7675</v>
      </c>
      <c r="U480" s="136">
        <v>1360</v>
      </c>
      <c r="V480" s="136"/>
      <c r="W480" s="136"/>
      <c r="X480" s="136">
        <v>1120</v>
      </c>
      <c r="Y480" s="136"/>
      <c r="Z480" s="136"/>
      <c r="AA480" s="136" t="s">
        <v>10</v>
      </c>
      <c r="AB480" s="136" t="s">
        <v>16</v>
      </c>
      <c r="AC480" s="136">
        <v>2</v>
      </c>
      <c r="AD480" s="137" t="s">
        <v>7676</v>
      </c>
      <c r="AE480" s="137" t="s">
        <v>7677</v>
      </c>
      <c r="AF480" s="137" t="s">
        <v>37</v>
      </c>
      <c r="AG480" s="755">
        <v>44350</v>
      </c>
      <c r="AH480" s="137"/>
      <c r="AI480" s="136"/>
      <c r="AJ480" s="1110"/>
    </row>
    <row r="481" spans="1:36" s="551" customFormat="1" ht="64.5" x14ac:dyDescent="0.25">
      <c r="A481" s="339"/>
      <c r="B481" s="116"/>
      <c r="C481" s="95"/>
      <c r="D481" s="567"/>
      <c r="E481" s="567"/>
      <c r="F481" s="108"/>
      <c r="G481" s="108"/>
      <c r="H481" s="95"/>
      <c r="I481" s="108"/>
      <c r="J481" s="122"/>
      <c r="K481" s="191"/>
      <c r="L481" s="359"/>
      <c r="M481" s="913"/>
      <c r="N481" s="913"/>
      <c r="O481" s="95"/>
      <c r="P481" s="95"/>
      <c r="Q481" s="359"/>
      <c r="R481" s="98"/>
      <c r="S481" s="42" t="s">
        <v>92</v>
      </c>
      <c r="T481" s="43" t="s">
        <v>7678</v>
      </c>
      <c r="U481" s="136">
        <v>1795</v>
      </c>
      <c r="V481" s="136"/>
      <c r="W481" s="136"/>
      <c r="X481" s="136">
        <v>1710</v>
      </c>
      <c r="Y481" s="136"/>
      <c r="Z481" s="136"/>
      <c r="AA481" s="136" t="s">
        <v>10</v>
      </c>
      <c r="AB481" s="136" t="s">
        <v>16</v>
      </c>
      <c r="AC481" s="136">
        <v>2</v>
      </c>
      <c r="AD481" s="137" t="s">
        <v>7682</v>
      </c>
      <c r="AE481" s="137" t="s">
        <v>7677</v>
      </c>
      <c r="AF481" s="137" t="s">
        <v>37</v>
      </c>
      <c r="AG481" s="755">
        <v>44350</v>
      </c>
      <c r="AH481" s="137"/>
      <c r="AI481" s="136"/>
      <c r="AJ481" s="1110"/>
    </row>
    <row r="482" spans="1:36" s="551" customFormat="1" ht="65.25" thickBot="1" x14ac:dyDescent="0.3">
      <c r="A482" s="339"/>
      <c r="B482" s="116"/>
      <c r="C482" s="95"/>
      <c r="D482" s="567"/>
      <c r="E482" s="567"/>
      <c r="F482" s="108"/>
      <c r="G482" s="108"/>
      <c r="H482" s="95"/>
      <c r="I482" s="108"/>
      <c r="J482" s="122"/>
      <c r="K482" s="190"/>
      <c r="L482" s="357"/>
      <c r="M482" s="912"/>
      <c r="N482" s="912"/>
      <c r="O482" s="96"/>
      <c r="P482" s="96"/>
      <c r="Q482" s="357"/>
      <c r="R482" s="100"/>
      <c r="S482" s="48" t="s">
        <v>99</v>
      </c>
      <c r="T482" s="49" t="s">
        <v>7679</v>
      </c>
      <c r="U482" s="154">
        <v>3490</v>
      </c>
      <c r="V482" s="154"/>
      <c r="W482" s="154"/>
      <c r="X482" s="154">
        <v>3280</v>
      </c>
      <c r="Y482" s="154"/>
      <c r="Z482" s="154"/>
      <c r="AA482" s="154" t="s">
        <v>10</v>
      </c>
      <c r="AB482" s="154" t="s">
        <v>16</v>
      </c>
      <c r="AC482" s="154">
        <v>2</v>
      </c>
      <c r="AD482" s="155" t="s">
        <v>7683</v>
      </c>
      <c r="AE482" s="155" t="s">
        <v>7677</v>
      </c>
      <c r="AF482" s="155" t="s">
        <v>37</v>
      </c>
      <c r="AG482" s="750">
        <v>44350</v>
      </c>
      <c r="AH482" s="155"/>
      <c r="AI482" s="154"/>
      <c r="AJ482" s="1111"/>
    </row>
    <row r="483" spans="1:36" s="551" customFormat="1" ht="65.25" thickBot="1" x14ac:dyDescent="0.3">
      <c r="A483" s="336"/>
      <c r="B483" s="196"/>
      <c r="C483" s="96"/>
      <c r="D483" s="566"/>
      <c r="E483" s="566"/>
      <c r="F483" s="107"/>
      <c r="G483" s="107"/>
      <c r="H483" s="96"/>
      <c r="I483" s="107"/>
      <c r="J483" s="123"/>
      <c r="K483" s="89">
        <v>967</v>
      </c>
      <c r="L483" s="396" t="s">
        <v>7681</v>
      </c>
      <c r="M483" s="265">
        <v>2029192.6066999999</v>
      </c>
      <c r="N483" s="265">
        <v>5661275.5805000002</v>
      </c>
      <c r="O483" s="84" t="s">
        <v>41</v>
      </c>
      <c r="P483" s="84">
        <v>1</v>
      </c>
      <c r="Q483" s="396" t="s">
        <v>2156</v>
      </c>
      <c r="R483" s="90" t="s">
        <v>2156</v>
      </c>
      <c r="S483" s="428" t="s">
        <v>100</v>
      </c>
      <c r="T483" s="243" t="s">
        <v>7680</v>
      </c>
      <c r="U483" s="204"/>
      <c r="V483" s="204">
        <v>5025</v>
      </c>
      <c r="W483" s="204">
        <v>3570</v>
      </c>
      <c r="X483" s="204"/>
      <c r="Y483" s="204"/>
      <c r="Z483" s="204"/>
      <c r="AA483" s="204" t="s">
        <v>10</v>
      </c>
      <c r="AB483" s="204" t="s">
        <v>16</v>
      </c>
      <c r="AC483" s="204">
        <v>2</v>
      </c>
      <c r="AD483" s="208" t="s">
        <v>7684</v>
      </c>
      <c r="AE483" s="208" t="s">
        <v>7677</v>
      </c>
      <c r="AF483" s="208" t="s">
        <v>37</v>
      </c>
      <c r="AG483" s="756">
        <v>44350</v>
      </c>
      <c r="AH483" s="208"/>
      <c r="AI483" s="204"/>
      <c r="AJ483" s="1109"/>
    </row>
    <row r="484" spans="1:36" ht="102.75" x14ac:dyDescent="0.25">
      <c r="A484" s="487" t="s">
        <v>7920</v>
      </c>
      <c r="B484" s="128" t="s">
        <v>1641</v>
      </c>
      <c r="C484" s="72">
        <v>323</v>
      </c>
      <c r="D484" s="586" t="s">
        <v>53</v>
      </c>
      <c r="E484" s="586"/>
      <c r="F484" s="129"/>
      <c r="G484" s="129"/>
      <c r="H484" s="72"/>
      <c r="I484" s="129"/>
      <c r="J484" s="381"/>
      <c r="K484" s="187">
        <v>1042</v>
      </c>
      <c r="L484" s="73" t="s">
        <v>7120</v>
      </c>
      <c r="M484" s="914">
        <v>1757367.4295000001</v>
      </c>
      <c r="N484" s="914">
        <v>5451219.9139999999</v>
      </c>
      <c r="O484" s="72" t="s">
        <v>41</v>
      </c>
      <c r="P484" s="72">
        <v>3</v>
      </c>
      <c r="Q484" s="73" t="s">
        <v>2156</v>
      </c>
      <c r="R484" s="74" t="s">
        <v>2156</v>
      </c>
      <c r="S484" s="656" t="s">
        <v>47</v>
      </c>
      <c r="T484" s="340" t="s">
        <v>7121</v>
      </c>
      <c r="U484" s="31">
        <v>1200</v>
      </c>
      <c r="V484" s="31"/>
      <c r="W484" s="31"/>
      <c r="X484" s="31">
        <v>700</v>
      </c>
      <c r="Y484" s="31"/>
      <c r="Z484" s="31"/>
      <c r="AA484" s="31" t="s">
        <v>85</v>
      </c>
      <c r="AB484" s="31" t="s">
        <v>16</v>
      </c>
      <c r="AC484" s="31">
        <v>3</v>
      </c>
      <c r="AD484" s="40" t="s">
        <v>7498</v>
      </c>
      <c r="AE484" s="40" t="s">
        <v>7122</v>
      </c>
      <c r="AF484" s="40" t="s">
        <v>1380</v>
      </c>
      <c r="AG484" s="744">
        <v>44042</v>
      </c>
      <c r="AH484" s="40"/>
      <c r="AI484" s="744">
        <v>44349</v>
      </c>
      <c r="AJ484" s="652" t="s">
        <v>37</v>
      </c>
    </row>
    <row r="485" spans="1:36" ht="115.5" x14ac:dyDescent="0.25">
      <c r="A485" s="488"/>
      <c r="B485" s="131"/>
      <c r="C485" s="75"/>
      <c r="D485" s="568"/>
      <c r="E485" s="568"/>
      <c r="F485" s="118"/>
      <c r="G485" s="118"/>
      <c r="H485" s="75"/>
      <c r="I485" s="118"/>
      <c r="J485" s="121"/>
      <c r="K485" s="188"/>
      <c r="L485" s="76"/>
      <c r="M485" s="915"/>
      <c r="N485" s="915"/>
      <c r="O485" s="75"/>
      <c r="P485" s="75"/>
      <c r="Q485" s="76"/>
      <c r="R485" s="77"/>
      <c r="S485" s="658" t="s">
        <v>91</v>
      </c>
      <c r="T485" s="179" t="s">
        <v>7123</v>
      </c>
      <c r="U485" s="24">
        <v>2600</v>
      </c>
      <c r="V485" s="24"/>
      <c r="W485" s="24"/>
      <c r="X485" s="24">
        <v>2100</v>
      </c>
      <c r="Y485" s="24"/>
      <c r="Z485" s="24"/>
      <c r="AA485" s="24" t="s">
        <v>85</v>
      </c>
      <c r="AB485" s="24" t="s">
        <v>16</v>
      </c>
      <c r="AC485" s="24">
        <v>3</v>
      </c>
      <c r="AD485" s="46" t="s">
        <v>7499</v>
      </c>
      <c r="AE485" s="46" t="s">
        <v>7122</v>
      </c>
      <c r="AF485" s="46" t="s">
        <v>1380</v>
      </c>
      <c r="AG485" s="746">
        <v>44042</v>
      </c>
      <c r="AH485" s="46"/>
      <c r="AI485" s="746">
        <v>44349</v>
      </c>
      <c r="AJ485" s="1107" t="s">
        <v>37</v>
      </c>
    </row>
    <row r="486" spans="1:36" ht="103.5" thickBot="1" x14ac:dyDescent="0.3">
      <c r="A486" s="488"/>
      <c r="B486" s="131"/>
      <c r="C486" s="75"/>
      <c r="D486" s="568"/>
      <c r="E486" s="568"/>
      <c r="F486" s="118"/>
      <c r="G486" s="118"/>
      <c r="H486" s="75"/>
      <c r="I486" s="118"/>
      <c r="J486" s="121"/>
      <c r="K486" s="192"/>
      <c r="L486" s="79"/>
      <c r="M486" s="916"/>
      <c r="N486" s="916"/>
      <c r="O486" s="78"/>
      <c r="P486" s="78"/>
      <c r="Q486" s="79"/>
      <c r="R486" s="80"/>
      <c r="S486" s="657" t="s">
        <v>92</v>
      </c>
      <c r="T486" s="335" t="s">
        <v>7124</v>
      </c>
      <c r="U486" s="25"/>
      <c r="V486" s="25">
        <v>2450</v>
      </c>
      <c r="W486" s="25">
        <v>3850</v>
      </c>
      <c r="X486" s="25"/>
      <c r="Y486" s="25">
        <v>2330</v>
      </c>
      <c r="Z486" s="25">
        <v>2750</v>
      </c>
      <c r="AA486" s="25" t="s">
        <v>16</v>
      </c>
      <c r="AB486" s="25" t="s">
        <v>16</v>
      </c>
      <c r="AC486" s="25">
        <v>2</v>
      </c>
      <c r="AD486" s="52" t="s">
        <v>7500</v>
      </c>
      <c r="AE486" s="52" t="s">
        <v>7122</v>
      </c>
      <c r="AF486" s="52" t="s">
        <v>1380</v>
      </c>
      <c r="AG486" s="745">
        <v>44042</v>
      </c>
      <c r="AH486" s="52"/>
      <c r="AI486" s="745">
        <v>44349</v>
      </c>
      <c r="AJ486" s="653" t="s">
        <v>37</v>
      </c>
    </row>
    <row r="487" spans="1:36" ht="64.5" x14ac:dyDescent="0.25">
      <c r="A487" s="339" t="s">
        <v>7920</v>
      </c>
      <c r="B487" s="116" t="s">
        <v>7918</v>
      </c>
      <c r="C487" s="95">
        <v>359</v>
      </c>
      <c r="D487" s="567" t="s">
        <v>52</v>
      </c>
      <c r="E487" s="567" t="s">
        <v>408</v>
      </c>
      <c r="F487" s="108"/>
      <c r="G487" s="108"/>
      <c r="H487" s="95"/>
      <c r="I487" s="108"/>
      <c r="J487" s="122"/>
      <c r="K487" s="189">
        <v>4045</v>
      </c>
      <c r="L487" s="355" t="s">
        <v>6575</v>
      </c>
      <c r="M487" s="911">
        <v>2057724.7790890001</v>
      </c>
      <c r="N487" s="911">
        <v>5719898.4007050004</v>
      </c>
      <c r="O487" s="125" t="s">
        <v>6576</v>
      </c>
      <c r="P487" s="125">
        <v>6</v>
      </c>
      <c r="Q487" s="355" t="s">
        <v>7931</v>
      </c>
      <c r="R487" s="134" t="s">
        <v>16</v>
      </c>
      <c r="S487" s="654" t="s">
        <v>47</v>
      </c>
      <c r="T487" s="337" t="s">
        <v>8602</v>
      </c>
      <c r="U487" s="2">
        <v>660</v>
      </c>
      <c r="X487" s="2">
        <v>530</v>
      </c>
      <c r="AA487" s="2" t="s">
        <v>10</v>
      </c>
      <c r="AB487" s="2" t="s">
        <v>16</v>
      </c>
      <c r="AC487" s="2">
        <v>2</v>
      </c>
      <c r="AD487" s="3" t="s">
        <v>6589</v>
      </c>
      <c r="AE487" s="3" t="s">
        <v>911</v>
      </c>
      <c r="AF487" s="3" t="s">
        <v>6372</v>
      </c>
      <c r="AG487" s="747">
        <v>44252</v>
      </c>
      <c r="AI487" s="747">
        <v>44326</v>
      </c>
      <c r="AJ487" s="1107" t="s">
        <v>37</v>
      </c>
    </row>
    <row r="488" spans="1:36" ht="65.25" thickBot="1" x14ac:dyDescent="0.3">
      <c r="A488" s="339"/>
      <c r="B488" s="116"/>
      <c r="C488" s="95"/>
      <c r="D488" s="567"/>
      <c r="E488" s="567"/>
      <c r="F488" s="108"/>
      <c r="G488" s="108"/>
      <c r="H488" s="95"/>
      <c r="I488" s="108"/>
      <c r="J488" s="122"/>
      <c r="K488" s="190"/>
      <c r="L488" s="357"/>
      <c r="M488" s="912"/>
      <c r="N488" s="912"/>
      <c r="O488" s="96"/>
      <c r="P488" s="96"/>
      <c r="Q488" s="357"/>
      <c r="R488" s="100"/>
      <c r="S488" s="655" t="s">
        <v>91</v>
      </c>
      <c r="T488" s="335" t="s">
        <v>6577</v>
      </c>
      <c r="U488" s="25">
        <v>1490</v>
      </c>
      <c r="V488" s="25"/>
      <c r="W488" s="25"/>
      <c r="X488" s="25">
        <v>1290</v>
      </c>
      <c r="Y488" s="25"/>
      <c r="Z488" s="25"/>
      <c r="AA488" s="25" t="s">
        <v>10</v>
      </c>
      <c r="AB488" s="25" t="s">
        <v>16</v>
      </c>
      <c r="AC488" s="25">
        <v>2</v>
      </c>
      <c r="AD488" s="52" t="s">
        <v>6589</v>
      </c>
      <c r="AE488" s="52" t="s">
        <v>911</v>
      </c>
      <c r="AF488" s="52" t="s">
        <v>6372</v>
      </c>
      <c r="AG488" s="745">
        <v>44252</v>
      </c>
      <c r="AH488" s="52"/>
      <c r="AI488" s="745">
        <v>44326</v>
      </c>
      <c r="AJ488" s="653" t="s">
        <v>37</v>
      </c>
    </row>
    <row r="489" spans="1:36" ht="90.75" thickBot="1" x14ac:dyDescent="0.3">
      <c r="A489" s="339"/>
      <c r="B489" s="116"/>
      <c r="C489" s="95"/>
      <c r="D489" s="567"/>
      <c r="E489" s="567"/>
      <c r="F489" s="108"/>
      <c r="G489" s="108"/>
      <c r="H489" s="95"/>
      <c r="I489" s="108"/>
      <c r="J489" s="122"/>
      <c r="K489" s="89">
        <v>4051</v>
      </c>
      <c r="L489" s="396" t="s">
        <v>6586</v>
      </c>
      <c r="M489" s="265">
        <v>2057250.8541999999</v>
      </c>
      <c r="N489" s="265">
        <v>5719939.1201999998</v>
      </c>
      <c r="O489" s="84" t="s">
        <v>41</v>
      </c>
      <c r="P489" s="84">
        <v>1</v>
      </c>
      <c r="Q489" s="396" t="s">
        <v>2156</v>
      </c>
      <c r="R489" s="90" t="s">
        <v>2156</v>
      </c>
      <c r="S489" s="684" t="s">
        <v>92</v>
      </c>
      <c r="T489" s="685" t="s">
        <v>6587</v>
      </c>
      <c r="U489" s="686">
        <v>3047</v>
      </c>
      <c r="V489" s="686"/>
      <c r="W489" s="686"/>
      <c r="X489" s="686">
        <v>2738</v>
      </c>
      <c r="Y489" s="686"/>
      <c r="Z489" s="686"/>
      <c r="AA489" s="686" t="s">
        <v>16</v>
      </c>
      <c r="AB489" s="686" t="s">
        <v>16</v>
      </c>
      <c r="AC489" s="686">
        <v>2</v>
      </c>
      <c r="AD489" s="687" t="s">
        <v>6591</v>
      </c>
      <c r="AE489" s="687" t="s">
        <v>912</v>
      </c>
      <c r="AF489" s="687" t="s">
        <v>6372</v>
      </c>
      <c r="AG489" s="757">
        <v>44252</v>
      </c>
      <c r="AH489" s="687"/>
      <c r="AI489" s="745">
        <v>44326</v>
      </c>
      <c r="AJ489" s="653" t="s">
        <v>37</v>
      </c>
    </row>
    <row r="490" spans="1:36" ht="65.25" thickBot="1" x14ac:dyDescent="0.3">
      <c r="A490" s="339"/>
      <c r="B490" s="116"/>
      <c r="C490" s="95"/>
      <c r="D490" s="567"/>
      <c r="E490" s="567"/>
      <c r="F490" s="108"/>
      <c r="G490" s="108"/>
      <c r="H490" s="95"/>
      <c r="I490" s="108"/>
      <c r="J490" s="122"/>
      <c r="K490" s="89">
        <v>4050</v>
      </c>
      <c r="L490" s="396" t="s">
        <v>6583</v>
      </c>
      <c r="M490" s="265">
        <v>2057471.1997</v>
      </c>
      <c r="N490" s="265">
        <v>5720143.8022999996</v>
      </c>
      <c r="O490" s="84" t="s">
        <v>41</v>
      </c>
      <c r="P490" s="84">
        <v>1</v>
      </c>
      <c r="Q490" s="396" t="s">
        <v>2156</v>
      </c>
      <c r="R490" s="90" t="s">
        <v>2156</v>
      </c>
      <c r="S490" s="683" t="s">
        <v>99</v>
      </c>
      <c r="T490" s="329" t="s">
        <v>6584</v>
      </c>
      <c r="U490" s="86">
        <v>3403</v>
      </c>
      <c r="V490" s="86"/>
      <c r="W490" s="86"/>
      <c r="X490" s="86">
        <v>3403</v>
      </c>
      <c r="Y490" s="86"/>
      <c r="Z490" s="86"/>
      <c r="AA490" s="86" t="s">
        <v>16</v>
      </c>
      <c r="AB490" s="86" t="s">
        <v>16</v>
      </c>
      <c r="AC490" s="86">
        <v>2</v>
      </c>
      <c r="AD490" s="92" t="s">
        <v>6585</v>
      </c>
      <c r="AE490" s="92" t="s">
        <v>912</v>
      </c>
      <c r="AF490" s="92" t="s">
        <v>6372</v>
      </c>
      <c r="AG490" s="743">
        <v>44252</v>
      </c>
      <c r="AH490" s="92"/>
      <c r="AI490" s="745">
        <v>44326</v>
      </c>
      <c r="AJ490" s="653" t="s">
        <v>37</v>
      </c>
    </row>
    <row r="491" spans="1:36" ht="52.5" thickBot="1" x14ac:dyDescent="0.3">
      <c r="A491" s="339"/>
      <c r="B491" s="116"/>
      <c r="C491" s="95"/>
      <c r="D491" s="567"/>
      <c r="E491" s="567"/>
      <c r="F491" s="108"/>
      <c r="G491" s="108"/>
      <c r="H491" s="95"/>
      <c r="I491" s="108"/>
      <c r="J491" s="122"/>
      <c r="K491" s="803">
        <v>4049</v>
      </c>
      <c r="L491" s="805" t="s">
        <v>6580</v>
      </c>
      <c r="M491" s="979">
        <v>2057178.3879</v>
      </c>
      <c r="N491" s="979">
        <v>5720095.9851000002</v>
      </c>
      <c r="O491" s="804" t="s">
        <v>41</v>
      </c>
      <c r="P491" s="804">
        <v>1</v>
      </c>
      <c r="Q491" s="805" t="s">
        <v>2156</v>
      </c>
      <c r="R491" s="806" t="s">
        <v>2156</v>
      </c>
      <c r="S491" s="683" t="s">
        <v>100</v>
      </c>
      <c r="T491" s="329" t="s">
        <v>6581</v>
      </c>
      <c r="U491" s="86">
        <v>4602</v>
      </c>
      <c r="V491" s="86"/>
      <c r="W491" s="86"/>
      <c r="X491" s="86">
        <v>3610</v>
      </c>
      <c r="Y491" s="86"/>
      <c r="Z491" s="86"/>
      <c r="AA491" s="86" t="s">
        <v>10</v>
      </c>
      <c r="AB491" s="86" t="s">
        <v>16</v>
      </c>
      <c r="AC491" s="86">
        <v>2</v>
      </c>
      <c r="AD491" s="92" t="s">
        <v>6582</v>
      </c>
      <c r="AE491" s="92" t="s">
        <v>912</v>
      </c>
      <c r="AF491" s="92" t="s">
        <v>6372</v>
      </c>
      <c r="AG491" s="743">
        <v>44252</v>
      </c>
      <c r="AH491" s="92"/>
      <c r="AI491" s="745">
        <v>44326</v>
      </c>
      <c r="AJ491" s="653" t="s">
        <v>37</v>
      </c>
    </row>
    <row r="492" spans="1:36" ht="103.5" thickBot="1" x14ac:dyDescent="0.3">
      <c r="A492" s="339"/>
      <c r="B492" s="116"/>
      <c r="C492" s="95"/>
      <c r="D492" s="567"/>
      <c r="E492" s="567"/>
      <c r="F492" s="108"/>
      <c r="G492" s="108"/>
      <c r="H492" s="95"/>
      <c r="I492" s="108"/>
      <c r="J492" s="122"/>
      <c r="K492" s="89">
        <v>4048</v>
      </c>
      <c r="L492" s="333" t="s">
        <v>6578</v>
      </c>
      <c r="M492" s="265">
        <v>2057269.821</v>
      </c>
      <c r="N492" s="265">
        <v>5720239.8389999997</v>
      </c>
      <c r="O492" s="84" t="s">
        <v>41</v>
      </c>
      <c r="P492" s="84">
        <v>1</v>
      </c>
      <c r="Q492" s="396" t="s">
        <v>2156</v>
      </c>
      <c r="R492" s="90" t="s">
        <v>2156</v>
      </c>
      <c r="S492" s="683" t="s">
        <v>101</v>
      </c>
      <c r="T492" s="329" t="s">
        <v>6579</v>
      </c>
      <c r="U492" s="86"/>
      <c r="V492" s="86">
        <v>7280</v>
      </c>
      <c r="W492" s="86">
        <v>7430</v>
      </c>
      <c r="X492" s="86">
        <v>7000</v>
      </c>
      <c r="Y492" s="86">
        <v>6500</v>
      </c>
      <c r="Z492" s="86">
        <v>7500</v>
      </c>
      <c r="AA492" s="86" t="s">
        <v>16</v>
      </c>
      <c r="AB492" s="86" t="s">
        <v>16</v>
      </c>
      <c r="AC492" s="86">
        <v>2</v>
      </c>
      <c r="AD492" s="92" t="s">
        <v>6592</v>
      </c>
      <c r="AE492" s="92" t="s">
        <v>912</v>
      </c>
      <c r="AF492" s="92" t="s">
        <v>6372</v>
      </c>
      <c r="AG492" s="743">
        <v>44252</v>
      </c>
      <c r="AH492" s="92"/>
      <c r="AI492" s="745">
        <v>44326</v>
      </c>
      <c r="AJ492" s="653" t="s">
        <v>37</v>
      </c>
    </row>
    <row r="493" spans="1:36" ht="39" x14ac:dyDescent="0.25">
      <c r="A493" s="524" t="s">
        <v>7920</v>
      </c>
      <c r="B493" s="81" t="s">
        <v>7921</v>
      </c>
      <c r="C493" s="26">
        <v>283</v>
      </c>
      <c r="D493" s="594" t="s">
        <v>53</v>
      </c>
      <c r="E493" s="594" t="s">
        <v>52</v>
      </c>
      <c r="F493" s="491"/>
      <c r="G493" s="491"/>
      <c r="H493" s="26"/>
      <c r="I493" s="491"/>
      <c r="J493" s="29"/>
      <c r="K493" s="26">
        <v>1005</v>
      </c>
      <c r="L493" s="58" t="s">
        <v>7128</v>
      </c>
      <c r="M493" s="932">
        <v>1760182.8729999999</v>
      </c>
      <c r="N493" s="932">
        <v>5411144.0520000001</v>
      </c>
      <c r="O493" s="491" t="s">
        <v>7932</v>
      </c>
      <c r="P493" s="26">
        <v>4</v>
      </c>
      <c r="Q493" s="58" t="s">
        <v>7129</v>
      </c>
      <c r="R493" s="59" t="s">
        <v>85</v>
      </c>
      <c r="S493" s="656" t="s">
        <v>47</v>
      </c>
      <c r="T493" s="340" t="s">
        <v>7130</v>
      </c>
      <c r="U493" s="31">
        <v>95</v>
      </c>
      <c r="V493" s="31"/>
      <c r="W493" s="31"/>
      <c r="X493" s="31">
        <v>95</v>
      </c>
      <c r="Y493" s="31"/>
      <c r="Z493" s="31"/>
      <c r="AA493" s="31" t="s">
        <v>10</v>
      </c>
      <c r="AB493" s="31" t="s">
        <v>10</v>
      </c>
      <c r="AC493" s="31">
        <v>1</v>
      </c>
      <c r="AD493" s="40" t="s">
        <v>7491</v>
      </c>
      <c r="AE493" s="40" t="s">
        <v>7131</v>
      </c>
      <c r="AF493" s="40" t="s">
        <v>1380</v>
      </c>
      <c r="AG493" s="744">
        <v>44244</v>
      </c>
      <c r="AH493" s="40"/>
      <c r="AI493" s="744">
        <v>44349</v>
      </c>
      <c r="AJ493" s="652" t="s">
        <v>37</v>
      </c>
    </row>
    <row r="494" spans="1:36" ht="64.5" x14ac:dyDescent="0.25">
      <c r="A494" s="736"/>
      <c r="B494" s="516"/>
      <c r="C494" s="27"/>
      <c r="D494" s="570"/>
      <c r="E494" s="570"/>
      <c r="F494" s="502"/>
      <c r="G494" s="502"/>
      <c r="H494" s="27"/>
      <c r="I494" s="502"/>
      <c r="J494" s="639"/>
      <c r="K494" s="27"/>
      <c r="L494" s="721"/>
      <c r="M494" s="980"/>
      <c r="N494" s="980"/>
      <c r="O494" s="515"/>
      <c r="P494" s="515"/>
      <c r="Q494" s="721"/>
      <c r="R494" s="61"/>
      <c r="S494" s="658" t="s">
        <v>91</v>
      </c>
      <c r="T494" s="337" t="s">
        <v>7132</v>
      </c>
      <c r="U494" s="2">
        <v>2380</v>
      </c>
      <c r="X494" s="2">
        <v>2060</v>
      </c>
      <c r="AA494" s="2" t="s">
        <v>85</v>
      </c>
      <c r="AB494" s="2" t="s">
        <v>16</v>
      </c>
      <c r="AC494" s="2">
        <v>3</v>
      </c>
      <c r="AD494" s="3" t="s">
        <v>7504</v>
      </c>
      <c r="AE494" s="3" t="s">
        <v>7131</v>
      </c>
      <c r="AF494" s="3" t="s">
        <v>1380</v>
      </c>
      <c r="AG494" s="747">
        <v>44244</v>
      </c>
      <c r="AI494" s="747">
        <v>44349</v>
      </c>
      <c r="AJ494" s="1107" t="s">
        <v>37</v>
      </c>
    </row>
    <row r="495" spans="1:36" ht="102.75" x14ac:dyDescent="0.25">
      <c r="A495" s="736"/>
      <c r="B495" s="516"/>
      <c r="C495" s="27"/>
      <c r="D495" s="570"/>
      <c r="E495" s="570"/>
      <c r="F495" s="502"/>
      <c r="G495" s="502"/>
      <c r="H495" s="27"/>
      <c r="I495" s="502"/>
      <c r="J495" s="639"/>
      <c r="K495" s="27"/>
      <c r="L495" s="721"/>
      <c r="M495" s="980"/>
      <c r="N495" s="980"/>
      <c r="O495" s="515"/>
      <c r="P495" s="515"/>
      <c r="Q495" s="721"/>
      <c r="R495" s="61"/>
      <c r="S495" s="658" t="s">
        <v>92</v>
      </c>
      <c r="T495" s="337" t="s">
        <v>7133</v>
      </c>
      <c r="U495" s="2">
        <v>5418</v>
      </c>
      <c r="X495" s="2">
        <v>4114</v>
      </c>
      <c r="AA495" s="2" t="s">
        <v>85</v>
      </c>
      <c r="AB495" s="2" t="s">
        <v>16</v>
      </c>
      <c r="AC495" s="2">
        <v>3</v>
      </c>
      <c r="AD495" s="3" t="s">
        <v>7505</v>
      </c>
      <c r="AE495" s="3" t="s">
        <v>7131</v>
      </c>
      <c r="AF495" s="3" t="s">
        <v>1380</v>
      </c>
      <c r="AG495" s="747">
        <v>44244</v>
      </c>
      <c r="AI495" s="747">
        <v>44349</v>
      </c>
      <c r="AJ495" s="1107" t="s">
        <v>37</v>
      </c>
    </row>
    <row r="496" spans="1:36" ht="77.25" x14ac:dyDescent="0.25">
      <c r="A496" s="736"/>
      <c r="B496" s="516"/>
      <c r="C496" s="27"/>
      <c r="D496" s="570"/>
      <c r="E496" s="570"/>
      <c r="F496" s="502"/>
      <c r="G496" s="502"/>
      <c r="H496" s="27"/>
      <c r="I496" s="502"/>
      <c r="J496" s="639"/>
      <c r="K496" s="27"/>
      <c r="L496" s="721"/>
      <c r="M496" s="980"/>
      <c r="N496" s="980"/>
      <c r="O496" s="515"/>
      <c r="P496" s="515"/>
      <c r="Q496" s="721"/>
      <c r="R496" s="61"/>
      <c r="S496" s="658" t="s">
        <v>99</v>
      </c>
      <c r="T496" s="337" t="s">
        <v>7134</v>
      </c>
      <c r="U496" s="2">
        <v>6920</v>
      </c>
      <c r="X496" s="2">
        <v>6610</v>
      </c>
      <c r="AA496" s="2" t="s">
        <v>16</v>
      </c>
      <c r="AB496" s="2" t="s">
        <v>16</v>
      </c>
      <c r="AC496" s="2">
        <v>2</v>
      </c>
      <c r="AD496" s="3" t="s">
        <v>7506</v>
      </c>
      <c r="AE496" s="3" t="s">
        <v>7131</v>
      </c>
      <c r="AF496" s="3" t="s">
        <v>1380</v>
      </c>
      <c r="AG496" s="747">
        <v>44244</v>
      </c>
      <c r="AI496" s="747">
        <v>44349</v>
      </c>
      <c r="AJ496" s="1107" t="s">
        <v>37</v>
      </c>
    </row>
    <row r="497" spans="1:36" ht="78" thickBot="1" x14ac:dyDescent="0.3">
      <c r="A497" s="736"/>
      <c r="B497" s="516"/>
      <c r="C497" s="27"/>
      <c r="D497" s="570"/>
      <c r="E497" s="570"/>
      <c r="F497" s="502"/>
      <c r="G497" s="502"/>
      <c r="H497" s="27"/>
      <c r="I497" s="502"/>
      <c r="J497" s="639"/>
      <c r="K497" s="28"/>
      <c r="L497" s="62"/>
      <c r="M497" s="923"/>
      <c r="N497" s="923"/>
      <c r="O497" s="28"/>
      <c r="P497" s="28"/>
      <c r="Q497" s="62"/>
      <c r="R497" s="63"/>
      <c r="S497" s="657" t="s">
        <v>7135</v>
      </c>
      <c r="T497" s="335" t="s">
        <v>7136</v>
      </c>
      <c r="U497" s="25"/>
      <c r="V497" s="25"/>
      <c r="W497" s="25"/>
      <c r="X497" s="25"/>
      <c r="Y497" s="25"/>
      <c r="Z497" s="25"/>
      <c r="AA497" s="25" t="s">
        <v>85</v>
      </c>
      <c r="AB497" s="25" t="s">
        <v>85</v>
      </c>
      <c r="AC497" s="25">
        <v>3</v>
      </c>
      <c r="AD497" s="52" t="s">
        <v>7492</v>
      </c>
      <c r="AE497" s="52" t="s">
        <v>7131</v>
      </c>
      <c r="AF497" s="52" t="s">
        <v>1380</v>
      </c>
      <c r="AG497" s="745">
        <v>44244</v>
      </c>
      <c r="AH497" s="52"/>
      <c r="AI497" s="745">
        <v>44349</v>
      </c>
      <c r="AJ497" s="653" t="s">
        <v>37</v>
      </c>
    </row>
    <row r="498" spans="1:36" ht="51.75" x14ac:dyDescent="0.25">
      <c r="A498" s="736"/>
      <c r="B498" s="516"/>
      <c r="C498" s="27"/>
      <c r="D498" s="570"/>
      <c r="E498" s="570"/>
      <c r="F498" s="502"/>
      <c r="G498" s="502"/>
      <c r="H498" s="27"/>
      <c r="I498" s="502"/>
      <c r="J498" s="639"/>
      <c r="K498" s="26">
        <v>1011</v>
      </c>
      <c r="L498" s="58" t="s">
        <v>7137</v>
      </c>
      <c r="M498" s="932">
        <v>1755373.3541999999</v>
      </c>
      <c r="N498" s="932">
        <v>5419361.7636000002</v>
      </c>
      <c r="O498" s="26" t="s">
        <v>41</v>
      </c>
      <c r="P498" s="26">
        <v>5</v>
      </c>
      <c r="Q498" s="58" t="s">
        <v>2156</v>
      </c>
      <c r="R498" s="59" t="s">
        <v>2156</v>
      </c>
      <c r="S498" s="658" t="s">
        <v>47</v>
      </c>
      <c r="T498" s="337" t="s">
        <v>7130</v>
      </c>
      <c r="V498" s="2">
        <v>2000</v>
      </c>
      <c r="W498" s="2">
        <v>2300</v>
      </c>
      <c r="AA498" s="2" t="s">
        <v>85</v>
      </c>
      <c r="AB498" s="410" t="s">
        <v>16</v>
      </c>
      <c r="AC498" s="2">
        <v>3</v>
      </c>
      <c r="AD498" s="3" t="s">
        <v>7493</v>
      </c>
      <c r="AE498" s="3" t="s">
        <v>7122</v>
      </c>
      <c r="AF498" s="3" t="s">
        <v>1380</v>
      </c>
      <c r="AG498" s="747">
        <v>44215</v>
      </c>
      <c r="AI498" s="747">
        <v>44349</v>
      </c>
      <c r="AJ498" s="1131" t="s">
        <v>37</v>
      </c>
    </row>
    <row r="499" spans="1:36" ht="77.25" x14ac:dyDescent="0.25">
      <c r="A499" s="736"/>
      <c r="B499" s="516"/>
      <c r="C499" s="27"/>
      <c r="D499" s="570"/>
      <c r="E499" s="570"/>
      <c r="F499" s="502"/>
      <c r="G499" s="502"/>
      <c r="H499" s="27"/>
      <c r="I499" s="502"/>
      <c r="J499" s="639"/>
      <c r="K499" s="27"/>
      <c r="L499" s="60"/>
      <c r="M499" s="933"/>
      <c r="N499" s="933"/>
      <c r="O499" s="27"/>
      <c r="P499" s="27"/>
      <c r="Q499" s="60"/>
      <c r="R499" s="61"/>
      <c r="S499" s="658" t="s">
        <v>91</v>
      </c>
      <c r="T499" s="337" t="s">
        <v>7138</v>
      </c>
      <c r="U499" s="2">
        <v>2300</v>
      </c>
      <c r="X499" s="2">
        <v>2000</v>
      </c>
      <c r="AA499" s="2" t="s">
        <v>85</v>
      </c>
      <c r="AB499" s="410" t="s">
        <v>85</v>
      </c>
      <c r="AC499" s="2">
        <v>3</v>
      </c>
      <c r="AD499" s="3" t="s">
        <v>7497</v>
      </c>
      <c r="AE499" s="3" t="s">
        <v>7122</v>
      </c>
      <c r="AF499" s="3" t="s">
        <v>1380</v>
      </c>
      <c r="AG499" s="747">
        <v>44215</v>
      </c>
      <c r="AI499" s="747">
        <v>44349</v>
      </c>
      <c r="AJ499" s="1131" t="s">
        <v>37</v>
      </c>
    </row>
    <row r="500" spans="1:36" ht="90" x14ac:dyDescent="0.25">
      <c r="A500" s="736"/>
      <c r="B500" s="516"/>
      <c r="C500" s="27"/>
      <c r="D500" s="570"/>
      <c r="E500" s="570"/>
      <c r="F500" s="502"/>
      <c r="G500" s="502"/>
      <c r="H500" s="27"/>
      <c r="I500" s="502"/>
      <c r="J500" s="639"/>
      <c r="K500" s="27"/>
      <c r="L500" s="60"/>
      <c r="M500" s="933"/>
      <c r="N500" s="933"/>
      <c r="O500" s="27"/>
      <c r="P500" s="27"/>
      <c r="Q500" s="60"/>
      <c r="R500" s="61"/>
      <c r="S500" s="658" t="s">
        <v>92</v>
      </c>
      <c r="T500" s="337" t="s">
        <v>7139</v>
      </c>
      <c r="U500" s="2">
        <v>3900</v>
      </c>
      <c r="X500" s="2">
        <v>3300</v>
      </c>
      <c r="AA500" s="2" t="s">
        <v>85</v>
      </c>
      <c r="AB500" s="410" t="s">
        <v>85</v>
      </c>
      <c r="AC500" s="2">
        <v>3</v>
      </c>
      <c r="AD500" s="3" t="s">
        <v>7496</v>
      </c>
      <c r="AE500" s="3" t="s">
        <v>7122</v>
      </c>
      <c r="AF500" s="3" t="s">
        <v>1380</v>
      </c>
      <c r="AG500" s="747">
        <v>44215</v>
      </c>
      <c r="AI500" s="747">
        <v>44349</v>
      </c>
      <c r="AJ500" s="1131" t="s">
        <v>37</v>
      </c>
    </row>
    <row r="501" spans="1:36" ht="102.75" x14ac:dyDescent="0.25">
      <c r="A501" s="736"/>
      <c r="B501" s="516"/>
      <c r="C501" s="27"/>
      <c r="D501" s="570"/>
      <c r="E501" s="570"/>
      <c r="F501" s="502"/>
      <c r="G501" s="502"/>
      <c r="H501" s="27"/>
      <c r="I501" s="502"/>
      <c r="J501" s="639"/>
      <c r="K501" s="27"/>
      <c r="L501" s="60"/>
      <c r="M501" s="933"/>
      <c r="N501" s="933"/>
      <c r="O501" s="27"/>
      <c r="P501" s="27"/>
      <c r="Q501" s="60"/>
      <c r="R501" s="61"/>
      <c r="S501" s="658" t="s">
        <v>99</v>
      </c>
      <c r="T501" s="337" t="s">
        <v>7140</v>
      </c>
      <c r="U501" s="2">
        <v>5400</v>
      </c>
      <c r="X501" s="2">
        <v>4800</v>
      </c>
      <c r="AA501" s="2" t="s">
        <v>85</v>
      </c>
      <c r="AB501" s="410" t="s">
        <v>85</v>
      </c>
      <c r="AC501" s="2">
        <v>3</v>
      </c>
      <c r="AD501" s="3" t="s">
        <v>7495</v>
      </c>
      <c r="AE501" s="3" t="s">
        <v>7122</v>
      </c>
      <c r="AF501" s="3" t="s">
        <v>1380</v>
      </c>
      <c r="AG501" s="747">
        <v>44215</v>
      </c>
      <c r="AI501" s="747">
        <v>44349</v>
      </c>
      <c r="AJ501" s="1131" t="s">
        <v>37</v>
      </c>
    </row>
    <row r="502" spans="1:36" ht="65.25" thickBot="1" x14ac:dyDescent="0.3">
      <c r="A502" s="790"/>
      <c r="B502" s="777"/>
      <c r="C502" s="28"/>
      <c r="D502" s="575"/>
      <c r="E502" s="575"/>
      <c r="F502" s="504"/>
      <c r="G502" s="504"/>
      <c r="H502" s="28"/>
      <c r="I502" s="504"/>
      <c r="J502" s="608"/>
      <c r="K502" s="28"/>
      <c r="L502" s="62"/>
      <c r="M502" s="923"/>
      <c r="N502" s="923"/>
      <c r="O502" s="28"/>
      <c r="P502" s="28"/>
      <c r="Q502" s="62"/>
      <c r="R502" s="63"/>
      <c r="S502" s="657" t="s">
        <v>100</v>
      </c>
      <c r="T502" s="335" t="s">
        <v>7141</v>
      </c>
      <c r="U502" s="25"/>
      <c r="V502" s="25"/>
      <c r="W502" s="25"/>
      <c r="X502" s="25"/>
      <c r="Y502" s="25">
        <v>6300</v>
      </c>
      <c r="Z502" s="25">
        <v>7250</v>
      </c>
      <c r="AA502" s="25" t="s">
        <v>85</v>
      </c>
      <c r="AB502" s="411" t="s">
        <v>85</v>
      </c>
      <c r="AC502" s="25">
        <v>3</v>
      </c>
      <c r="AD502" s="52" t="s">
        <v>7494</v>
      </c>
      <c r="AE502" s="52" t="s">
        <v>7122</v>
      </c>
      <c r="AF502" s="52" t="s">
        <v>1380</v>
      </c>
      <c r="AG502" s="745">
        <v>44215</v>
      </c>
      <c r="AH502" s="52"/>
      <c r="AI502" s="745">
        <v>44349</v>
      </c>
      <c r="AJ502" s="1132" t="s">
        <v>37</v>
      </c>
    </row>
    <row r="503" spans="1:36" ht="39" x14ac:dyDescent="0.25">
      <c r="A503" s="487" t="s">
        <v>7920</v>
      </c>
      <c r="B503" s="128"/>
      <c r="C503" s="72"/>
      <c r="D503" s="586"/>
      <c r="E503" s="586"/>
      <c r="F503" s="129"/>
      <c r="G503" s="129"/>
      <c r="H503" s="72"/>
      <c r="I503" s="129"/>
      <c r="J503" s="381"/>
      <c r="K503" s="187">
        <v>1310</v>
      </c>
      <c r="L503" s="73" t="s">
        <v>7142</v>
      </c>
      <c r="M503" s="914">
        <v>1751940.0086000001</v>
      </c>
      <c r="N503" s="914">
        <v>5423910.5886000004</v>
      </c>
      <c r="O503" s="72" t="s">
        <v>41</v>
      </c>
      <c r="P503" s="72">
        <v>8</v>
      </c>
      <c r="Q503" s="73" t="s">
        <v>2156</v>
      </c>
      <c r="R503" s="74" t="s">
        <v>2156</v>
      </c>
      <c r="S503" s="656" t="s">
        <v>47</v>
      </c>
      <c r="T503" s="340" t="s">
        <v>7130</v>
      </c>
      <c r="U503" s="31">
        <v>95</v>
      </c>
      <c r="V503" s="31"/>
      <c r="W503" s="31"/>
      <c r="X503" s="31">
        <v>95</v>
      </c>
      <c r="Y503" s="31"/>
      <c r="Z503" s="31"/>
      <c r="AA503" s="31" t="s">
        <v>10</v>
      </c>
      <c r="AB503" s="31" t="s">
        <v>10</v>
      </c>
      <c r="AC503" s="31">
        <v>1</v>
      </c>
      <c r="AD503" s="40" t="s">
        <v>7509</v>
      </c>
      <c r="AE503" s="40" t="s">
        <v>7507</v>
      </c>
      <c r="AF503" s="40" t="s">
        <v>1380</v>
      </c>
      <c r="AG503" s="744">
        <v>44243</v>
      </c>
      <c r="AH503" s="40"/>
      <c r="AI503" s="744">
        <v>44243</v>
      </c>
      <c r="AJ503" s="652" t="s">
        <v>37</v>
      </c>
    </row>
    <row r="504" spans="1:36" ht="51.75" x14ac:dyDescent="0.25">
      <c r="A504" s="488"/>
      <c r="B504" s="131"/>
      <c r="C504" s="75"/>
      <c r="D504" s="568"/>
      <c r="E504" s="568"/>
      <c r="F504" s="118"/>
      <c r="G504" s="118"/>
      <c r="H504" s="75"/>
      <c r="I504" s="118"/>
      <c r="J504" s="121"/>
      <c r="K504" s="188"/>
      <c r="L504" s="76"/>
      <c r="M504" s="915"/>
      <c r="N504" s="915"/>
      <c r="O504" s="75"/>
      <c r="P504" s="75"/>
      <c r="Q504" s="76"/>
      <c r="R504" s="77"/>
      <c r="S504" s="658" t="s">
        <v>91</v>
      </c>
      <c r="T504" s="179" t="s">
        <v>7143</v>
      </c>
      <c r="U504" s="24"/>
      <c r="V504" s="24">
        <v>691</v>
      </c>
      <c r="W504" s="24">
        <v>935</v>
      </c>
      <c r="X504" s="24"/>
      <c r="Y504" s="24">
        <v>256</v>
      </c>
      <c r="Z504" s="24">
        <v>480</v>
      </c>
      <c r="AA504" s="24" t="s">
        <v>16</v>
      </c>
      <c r="AB504" s="24" t="s">
        <v>85</v>
      </c>
      <c r="AC504" s="24">
        <v>3</v>
      </c>
      <c r="AD504" s="46" t="s">
        <v>7510</v>
      </c>
      <c r="AE504" s="46" t="s">
        <v>7507</v>
      </c>
      <c r="AF504" s="46" t="s">
        <v>1380</v>
      </c>
      <c r="AG504" s="746">
        <v>44243</v>
      </c>
      <c r="AH504" s="46"/>
      <c r="AI504" s="746">
        <v>44243</v>
      </c>
      <c r="AJ504" s="1107" t="s">
        <v>37</v>
      </c>
    </row>
    <row r="505" spans="1:36" ht="102.75" x14ac:dyDescent="0.25">
      <c r="A505" s="488"/>
      <c r="B505" s="131"/>
      <c r="C505" s="75"/>
      <c r="D505" s="568"/>
      <c r="E505" s="568"/>
      <c r="F505" s="118"/>
      <c r="G505" s="118"/>
      <c r="H505" s="75"/>
      <c r="I505" s="118"/>
      <c r="J505" s="121"/>
      <c r="K505" s="188"/>
      <c r="L505" s="76"/>
      <c r="M505" s="915"/>
      <c r="N505" s="915"/>
      <c r="O505" s="75"/>
      <c r="P505" s="75"/>
      <c r="Q505" s="76"/>
      <c r="R505" s="794"/>
      <c r="S505" s="658" t="s">
        <v>92</v>
      </c>
      <c r="T505" s="179" t="s">
        <v>7144</v>
      </c>
      <c r="U505" s="24">
        <v>3410</v>
      </c>
      <c r="V505" s="24">
        <v>3638</v>
      </c>
      <c r="W505" s="24">
        <v>3902</v>
      </c>
      <c r="X505" s="24">
        <v>2740</v>
      </c>
      <c r="Y505" s="24">
        <v>2742</v>
      </c>
      <c r="Z505" s="24">
        <v>3089</v>
      </c>
      <c r="AA505" s="24" t="s">
        <v>16</v>
      </c>
      <c r="AB505" s="24" t="s">
        <v>85</v>
      </c>
      <c r="AC505" s="24">
        <v>3</v>
      </c>
      <c r="AD505" s="46" t="s">
        <v>7512</v>
      </c>
      <c r="AE505" s="46" t="s">
        <v>7507</v>
      </c>
      <c r="AF505" s="46" t="s">
        <v>1380</v>
      </c>
      <c r="AG505" s="746">
        <v>44243</v>
      </c>
      <c r="AH505" s="46"/>
      <c r="AI505" s="746">
        <v>44243</v>
      </c>
      <c r="AJ505" s="1107" t="s">
        <v>37</v>
      </c>
    </row>
    <row r="506" spans="1:36" ht="51.75" x14ac:dyDescent="0.25">
      <c r="A506" s="488"/>
      <c r="B506" s="131"/>
      <c r="C506" s="75"/>
      <c r="D506" s="568"/>
      <c r="E506" s="568"/>
      <c r="F506" s="118"/>
      <c r="G506" s="118"/>
      <c r="H506" s="75"/>
      <c r="I506" s="118"/>
      <c r="J506" s="121"/>
      <c r="K506" s="188"/>
      <c r="L506" s="76"/>
      <c r="M506" s="915"/>
      <c r="N506" s="915"/>
      <c r="O506" s="75"/>
      <c r="P506" s="75"/>
      <c r="Q506" s="76"/>
      <c r="R506" s="77"/>
      <c r="S506" s="658" t="s">
        <v>99</v>
      </c>
      <c r="T506" s="179" t="s">
        <v>7144</v>
      </c>
      <c r="U506" s="24">
        <v>3410</v>
      </c>
      <c r="V506" s="24">
        <v>3086</v>
      </c>
      <c r="W506" s="24">
        <v>3411</v>
      </c>
      <c r="X506" s="24">
        <v>2740</v>
      </c>
      <c r="Y506" s="24">
        <v>2742</v>
      </c>
      <c r="Z506" s="24">
        <v>3089</v>
      </c>
      <c r="AA506" s="24" t="s">
        <v>16</v>
      </c>
      <c r="AB506" s="24" t="s">
        <v>85</v>
      </c>
      <c r="AC506" s="24">
        <v>3</v>
      </c>
      <c r="AD506" s="46" t="s">
        <v>7513</v>
      </c>
      <c r="AE506" s="46" t="s">
        <v>7507</v>
      </c>
      <c r="AF506" s="46" t="s">
        <v>1380</v>
      </c>
      <c r="AG506" s="746">
        <v>44243</v>
      </c>
      <c r="AH506" s="46"/>
      <c r="AI506" s="746">
        <v>44243</v>
      </c>
      <c r="AJ506" s="1107" t="s">
        <v>37</v>
      </c>
    </row>
    <row r="507" spans="1:36" ht="51.75" x14ac:dyDescent="0.25">
      <c r="A507" s="488"/>
      <c r="B507" s="131"/>
      <c r="C507" s="75"/>
      <c r="D507" s="568"/>
      <c r="E507" s="568"/>
      <c r="F507" s="118"/>
      <c r="G507" s="118"/>
      <c r="H507" s="75"/>
      <c r="I507" s="118"/>
      <c r="J507" s="121"/>
      <c r="K507" s="188"/>
      <c r="L507" s="76"/>
      <c r="M507" s="915"/>
      <c r="N507" s="915"/>
      <c r="O507" s="75"/>
      <c r="P507" s="75"/>
      <c r="Q507" s="76"/>
      <c r="R507" s="77"/>
      <c r="S507" s="658" t="s">
        <v>100</v>
      </c>
      <c r="T507" s="179" t="s">
        <v>7145</v>
      </c>
      <c r="U507" s="24"/>
      <c r="V507" s="24">
        <v>5087</v>
      </c>
      <c r="W507" s="24">
        <v>5429</v>
      </c>
      <c r="X507" s="24"/>
      <c r="Y507" s="117">
        <v>4890</v>
      </c>
      <c r="Z507" s="24">
        <v>5261</v>
      </c>
      <c r="AA507" s="24" t="s">
        <v>16</v>
      </c>
      <c r="AB507" s="24" t="s">
        <v>85</v>
      </c>
      <c r="AC507" s="24">
        <v>3</v>
      </c>
      <c r="AD507" s="46" t="s">
        <v>7514</v>
      </c>
      <c r="AE507" s="46" t="s">
        <v>7507</v>
      </c>
      <c r="AF507" s="46" t="s">
        <v>1380</v>
      </c>
      <c r="AG507" s="746">
        <v>44243</v>
      </c>
      <c r="AH507" s="46"/>
      <c r="AI507" s="746">
        <v>44243</v>
      </c>
      <c r="AJ507" s="1107" t="s">
        <v>37</v>
      </c>
    </row>
    <row r="508" spans="1:36" ht="51.75" x14ac:dyDescent="0.25">
      <c r="A508" s="488"/>
      <c r="B508" s="131"/>
      <c r="C508" s="75"/>
      <c r="D508" s="568"/>
      <c r="E508" s="568"/>
      <c r="F508" s="118"/>
      <c r="G508" s="118"/>
      <c r="H508" s="75"/>
      <c r="I508" s="118"/>
      <c r="J508" s="121"/>
      <c r="K508" s="188"/>
      <c r="L508" s="76"/>
      <c r="M508" s="915"/>
      <c r="N508" s="915"/>
      <c r="O508" s="75"/>
      <c r="P508" s="75"/>
      <c r="Q508" s="76"/>
      <c r="R508" s="77"/>
      <c r="S508" s="658" t="s">
        <v>101</v>
      </c>
      <c r="T508" s="179" t="s">
        <v>7146</v>
      </c>
      <c r="U508" s="24">
        <v>5973</v>
      </c>
      <c r="V508" s="24"/>
      <c r="W508" s="24"/>
      <c r="X508" s="24">
        <v>5732</v>
      </c>
      <c r="Y508" s="24"/>
      <c r="Z508" s="24"/>
      <c r="AA508" s="24" t="s">
        <v>85</v>
      </c>
      <c r="AB508" s="24" t="s">
        <v>85</v>
      </c>
      <c r="AC508" s="24">
        <v>3</v>
      </c>
      <c r="AD508" s="46" t="s">
        <v>7515</v>
      </c>
      <c r="AE508" s="46" t="s">
        <v>7507</v>
      </c>
      <c r="AF508" s="46" t="s">
        <v>1380</v>
      </c>
      <c r="AG508" s="746">
        <v>44243</v>
      </c>
      <c r="AH508" s="46"/>
      <c r="AI508" s="746">
        <v>44243</v>
      </c>
      <c r="AJ508" s="1107" t="s">
        <v>37</v>
      </c>
    </row>
    <row r="509" spans="1:36" ht="51.75" x14ac:dyDescent="0.25">
      <c r="A509" s="488"/>
      <c r="B509" s="131"/>
      <c r="C509" s="75"/>
      <c r="D509" s="568"/>
      <c r="E509" s="568"/>
      <c r="F509" s="118"/>
      <c r="G509" s="118"/>
      <c r="H509" s="75"/>
      <c r="I509" s="118"/>
      <c r="J509" s="121"/>
      <c r="K509" s="188"/>
      <c r="L509" s="76"/>
      <c r="M509" s="915"/>
      <c r="N509" s="915"/>
      <c r="O509" s="75"/>
      <c r="P509" s="75"/>
      <c r="Q509" s="76"/>
      <c r="R509" s="77"/>
      <c r="S509" s="658" t="s">
        <v>102</v>
      </c>
      <c r="T509" s="179" t="s">
        <v>7147</v>
      </c>
      <c r="U509" s="24"/>
      <c r="V509" s="24">
        <v>7001</v>
      </c>
      <c r="W509" s="24">
        <v>7291</v>
      </c>
      <c r="X509" s="24"/>
      <c r="Y509" s="24">
        <v>5732</v>
      </c>
      <c r="Z509" s="24">
        <v>5973</v>
      </c>
      <c r="AA509" s="24" t="s">
        <v>16</v>
      </c>
      <c r="AB509" s="24" t="s">
        <v>85</v>
      </c>
      <c r="AC509" s="24">
        <v>3</v>
      </c>
      <c r="AD509" s="46" t="s">
        <v>7516</v>
      </c>
      <c r="AE509" s="46" t="s">
        <v>7507</v>
      </c>
      <c r="AF509" s="46" t="s">
        <v>1380</v>
      </c>
      <c r="AG509" s="746">
        <v>44243</v>
      </c>
      <c r="AH509" s="46"/>
      <c r="AI509" s="746">
        <v>44243</v>
      </c>
      <c r="AJ509" s="1107" t="s">
        <v>37</v>
      </c>
    </row>
    <row r="510" spans="1:36" ht="52.5" thickBot="1" x14ac:dyDescent="0.3">
      <c r="A510" s="488"/>
      <c r="B510" s="131"/>
      <c r="C510" s="75"/>
      <c r="D510" s="568"/>
      <c r="E510" s="568"/>
      <c r="F510" s="118"/>
      <c r="G510" s="118"/>
      <c r="H510" s="75"/>
      <c r="I510" s="118"/>
      <c r="J510" s="121"/>
      <c r="K510" s="192"/>
      <c r="L510" s="79"/>
      <c r="M510" s="916"/>
      <c r="N510" s="916"/>
      <c r="O510" s="78"/>
      <c r="P510" s="78"/>
      <c r="Q510" s="79"/>
      <c r="R510" s="80"/>
      <c r="S510" s="657" t="s">
        <v>103</v>
      </c>
      <c r="T510" s="335" t="s">
        <v>7147</v>
      </c>
      <c r="U510" s="25"/>
      <c r="V510" s="25">
        <v>7001</v>
      </c>
      <c r="W510" s="25">
        <v>7291</v>
      </c>
      <c r="X510" s="25"/>
      <c r="Y510" s="25">
        <v>5732</v>
      </c>
      <c r="Z510" s="25">
        <v>5973</v>
      </c>
      <c r="AA510" s="25" t="s">
        <v>16</v>
      </c>
      <c r="AB510" s="25" t="s">
        <v>85</v>
      </c>
      <c r="AC510" s="25">
        <v>3</v>
      </c>
      <c r="AD510" s="52" t="s">
        <v>7517</v>
      </c>
      <c r="AE510" s="52" t="s">
        <v>7507</v>
      </c>
      <c r="AF510" s="52" t="s">
        <v>1380</v>
      </c>
      <c r="AG510" s="745">
        <v>44243</v>
      </c>
      <c r="AH510" s="52"/>
      <c r="AI510" s="745">
        <v>44243</v>
      </c>
      <c r="AJ510" s="653" t="s">
        <v>37</v>
      </c>
    </row>
    <row r="511" spans="1:36" ht="102.75" x14ac:dyDescent="0.25">
      <c r="A511" s="807" t="s">
        <v>7920</v>
      </c>
      <c r="B511" s="349"/>
      <c r="C511" s="157"/>
      <c r="D511" s="592"/>
      <c r="E511" s="592"/>
      <c r="F511" s="159"/>
      <c r="G511" s="159"/>
      <c r="H511" s="157"/>
      <c r="I511" s="159"/>
      <c r="J511" s="450"/>
      <c r="K511" s="157">
        <v>1093</v>
      </c>
      <c r="L511" s="433" t="s">
        <v>7953</v>
      </c>
      <c r="M511" s="924">
        <v>1764337.4092999999</v>
      </c>
      <c r="N511" s="924">
        <v>5478659.9652000004</v>
      </c>
      <c r="O511" s="157" t="s">
        <v>2156</v>
      </c>
      <c r="P511" s="157">
        <v>4</v>
      </c>
      <c r="Q511" s="433" t="s">
        <v>2156</v>
      </c>
      <c r="R511" s="160" t="s">
        <v>2156</v>
      </c>
      <c r="S511" s="737" t="s">
        <v>47</v>
      </c>
      <c r="T511" s="340" t="s">
        <v>7125</v>
      </c>
      <c r="U511" s="31">
        <v>716</v>
      </c>
      <c r="V511" s="31"/>
      <c r="W511" s="31"/>
      <c r="X511" s="31">
        <v>306</v>
      </c>
      <c r="Y511" s="31"/>
      <c r="Z511" s="31"/>
      <c r="AA511" s="31" t="s">
        <v>16</v>
      </c>
      <c r="AB511" s="31" t="s">
        <v>85</v>
      </c>
      <c r="AC511" s="31">
        <v>3</v>
      </c>
      <c r="AD511" s="40" t="s">
        <v>7951</v>
      </c>
      <c r="AE511" s="40" t="s">
        <v>7122</v>
      </c>
      <c r="AF511" s="40" t="s">
        <v>1380</v>
      </c>
      <c r="AG511" s="744">
        <v>44215</v>
      </c>
      <c r="AH511" s="40"/>
      <c r="AI511" s="744">
        <v>44349</v>
      </c>
      <c r="AJ511" s="652" t="s">
        <v>37</v>
      </c>
    </row>
    <row r="512" spans="1:36" ht="64.5" x14ac:dyDescent="0.25">
      <c r="A512" s="808"/>
      <c r="B512" s="550"/>
      <c r="C512" s="161"/>
      <c r="D512" s="573"/>
      <c r="E512" s="573"/>
      <c r="F512" s="163"/>
      <c r="G512" s="163"/>
      <c r="H512" s="161"/>
      <c r="I512" s="163"/>
      <c r="J512" s="423"/>
      <c r="K512" s="161"/>
      <c r="L512" s="475"/>
      <c r="M512" s="937"/>
      <c r="N512" s="937"/>
      <c r="O512" s="436"/>
      <c r="P512" s="436"/>
      <c r="Q512" s="475"/>
      <c r="R512" s="164"/>
      <c r="S512" s="654" t="s">
        <v>91</v>
      </c>
      <c r="T512" s="337" t="s">
        <v>7126</v>
      </c>
      <c r="AA512" s="2" t="s">
        <v>16</v>
      </c>
      <c r="AB512" s="2" t="s">
        <v>85</v>
      </c>
      <c r="AC512" s="2">
        <v>3</v>
      </c>
      <c r="AD512" s="3" t="s">
        <v>7501</v>
      </c>
      <c r="AE512" s="3" t="s">
        <v>7122</v>
      </c>
      <c r="AF512" s="3" t="s">
        <v>1380</v>
      </c>
      <c r="AG512" s="747">
        <v>44215</v>
      </c>
      <c r="AI512" s="747">
        <v>44349</v>
      </c>
      <c r="AJ512" s="1107" t="s">
        <v>37</v>
      </c>
    </row>
    <row r="513" spans="1:36" ht="128.25" x14ac:dyDescent="0.25">
      <c r="A513" s="808"/>
      <c r="B513" s="550"/>
      <c r="C513" s="161"/>
      <c r="D513" s="573"/>
      <c r="E513" s="573"/>
      <c r="F513" s="163"/>
      <c r="G513" s="163"/>
      <c r="H513" s="161"/>
      <c r="I513" s="163"/>
      <c r="J513" s="423"/>
      <c r="K513" s="161"/>
      <c r="L513" s="475"/>
      <c r="M513" s="937"/>
      <c r="N513" s="937"/>
      <c r="O513" s="436"/>
      <c r="P513" s="436"/>
      <c r="Q513" s="475"/>
      <c r="R513" s="164"/>
      <c r="S513" s="654" t="s">
        <v>92</v>
      </c>
      <c r="T513" s="337" t="s">
        <v>7123</v>
      </c>
      <c r="U513" s="2">
        <v>2600</v>
      </c>
      <c r="X513" s="2">
        <v>2100</v>
      </c>
      <c r="AA513" s="2" t="s">
        <v>85</v>
      </c>
      <c r="AB513" s="2" t="s">
        <v>16</v>
      </c>
      <c r="AC513" s="2">
        <v>3</v>
      </c>
      <c r="AD513" s="3" t="s">
        <v>7502</v>
      </c>
      <c r="AE513" s="3" t="s">
        <v>7122</v>
      </c>
      <c r="AF513" s="3" t="s">
        <v>1380</v>
      </c>
      <c r="AG513" s="747">
        <v>44215</v>
      </c>
      <c r="AI513" s="747">
        <v>44349</v>
      </c>
      <c r="AJ513" s="1107" t="s">
        <v>37</v>
      </c>
    </row>
    <row r="514" spans="1:36" ht="103.5" thickBot="1" x14ac:dyDescent="0.3">
      <c r="A514" s="808"/>
      <c r="B514" s="550"/>
      <c r="C514" s="161"/>
      <c r="D514" s="573"/>
      <c r="E514" s="573"/>
      <c r="F514" s="163"/>
      <c r="G514" s="163"/>
      <c r="H514" s="161"/>
      <c r="I514" s="163"/>
      <c r="J514" s="423"/>
      <c r="K514" s="165"/>
      <c r="L514" s="435"/>
      <c r="M514" s="925"/>
      <c r="N514" s="925"/>
      <c r="O514" s="165"/>
      <c r="P514" s="165"/>
      <c r="Q514" s="435"/>
      <c r="R514" s="200"/>
      <c r="S514" s="655" t="s">
        <v>99</v>
      </c>
      <c r="T514" s="335" t="s">
        <v>7127</v>
      </c>
      <c r="U514" s="25"/>
      <c r="V514" s="25"/>
      <c r="W514" s="25"/>
      <c r="X514" s="25"/>
      <c r="Y514" s="25">
        <v>2852</v>
      </c>
      <c r="Z514" s="25">
        <v>3562</v>
      </c>
      <c r="AA514" s="25" t="s">
        <v>85</v>
      </c>
      <c r="AB514" s="25" t="s">
        <v>16</v>
      </c>
      <c r="AC514" s="25">
        <v>3</v>
      </c>
      <c r="AD514" s="52" t="s">
        <v>7503</v>
      </c>
      <c r="AE514" s="52" t="s">
        <v>7122</v>
      </c>
      <c r="AF514" s="52" t="s">
        <v>1380</v>
      </c>
      <c r="AG514" s="745">
        <v>44215</v>
      </c>
      <c r="AH514" s="52"/>
      <c r="AI514" s="745">
        <v>44349</v>
      </c>
      <c r="AJ514" s="653" t="s">
        <v>37</v>
      </c>
    </row>
    <row r="515" spans="1:36" ht="52.5" thickBot="1" x14ac:dyDescent="0.3">
      <c r="A515" s="808"/>
      <c r="B515" s="550"/>
      <c r="C515" s="161"/>
      <c r="D515" s="161"/>
      <c r="E515" s="161"/>
      <c r="F515" s="163"/>
      <c r="G515" s="163"/>
      <c r="H515" s="161"/>
      <c r="I515" s="163"/>
      <c r="J515" s="423"/>
      <c r="K515" s="810">
        <v>1358</v>
      </c>
      <c r="L515" s="472" t="s">
        <v>7941</v>
      </c>
      <c r="M515" s="934">
        <v>1764573.9291999999</v>
      </c>
      <c r="N515" s="934">
        <v>5500085.5714999996</v>
      </c>
      <c r="O515" s="157" t="s">
        <v>41</v>
      </c>
      <c r="P515" s="157">
        <v>1</v>
      </c>
      <c r="Q515" s="433" t="s">
        <v>2156</v>
      </c>
      <c r="R515" s="480" t="s">
        <v>2156</v>
      </c>
      <c r="S515" s="683" t="s">
        <v>47</v>
      </c>
      <c r="T515" s="329" t="s">
        <v>7942</v>
      </c>
      <c r="U515" s="86">
        <v>618</v>
      </c>
      <c r="V515" s="86"/>
      <c r="W515" s="86"/>
      <c r="X515" s="86">
        <v>562</v>
      </c>
      <c r="Y515" s="86"/>
      <c r="Z515" s="86"/>
      <c r="AA515" s="86" t="s">
        <v>10</v>
      </c>
      <c r="AB515" s="86" t="s">
        <v>16</v>
      </c>
      <c r="AC515" s="86">
        <v>2</v>
      </c>
      <c r="AD515" s="92" t="s">
        <v>7949</v>
      </c>
      <c r="AE515" s="92" t="s">
        <v>7943</v>
      </c>
      <c r="AF515" s="92" t="s">
        <v>1380</v>
      </c>
      <c r="AG515" s="93">
        <v>44363</v>
      </c>
      <c r="AH515" s="92"/>
      <c r="AI515" s="887">
        <v>44365</v>
      </c>
      <c r="AJ515" s="1108" t="s">
        <v>37</v>
      </c>
    </row>
    <row r="516" spans="1:36" ht="52.5" thickBot="1" x14ac:dyDescent="0.3">
      <c r="A516" s="808"/>
      <c r="B516" s="550"/>
      <c r="C516" s="161"/>
      <c r="D516" s="161"/>
      <c r="E516" s="161"/>
      <c r="F516" s="163"/>
      <c r="G516" s="163"/>
      <c r="H516" s="161"/>
      <c r="I516" s="163"/>
      <c r="J516" s="423"/>
      <c r="K516" s="811">
        <v>1362</v>
      </c>
      <c r="L516" s="435" t="s">
        <v>7944</v>
      </c>
      <c r="M516" s="925">
        <v>1764477.7837</v>
      </c>
      <c r="N516" s="925">
        <v>5478546.7741</v>
      </c>
      <c r="O516" s="157" t="s">
        <v>41</v>
      </c>
      <c r="P516" s="157">
        <v>1</v>
      </c>
      <c r="Q516" s="433" t="s">
        <v>2156</v>
      </c>
      <c r="R516" s="480" t="s">
        <v>2156</v>
      </c>
      <c r="S516" s="655" t="s">
        <v>47</v>
      </c>
      <c r="T516" s="335" t="s">
        <v>7945</v>
      </c>
      <c r="U516" s="25">
        <v>844</v>
      </c>
      <c r="V516" s="25"/>
      <c r="W516" s="25"/>
      <c r="X516" s="25">
        <v>560</v>
      </c>
      <c r="Y516" s="25"/>
      <c r="Z516" s="25"/>
      <c r="AA516" s="25" t="s">
        <v>10</v>
      </c>
      <c r="AB516" s="25" t="s">
        <v>16</v>
      </c>
      <c r="AC516" s="25">
        <v>2</v>
      </c>
      <c r="AD516" s="52" t="s">
        <v>7948</v>
      </c>
      <c r="AE516" s="52" t="s">
        <v>7943</v>
      </c>
      <c r="AF516" s="52" t="s">
        <v>1380</v>
      </c>
      <c r="AG516" s="53">
        <v>44363</v>
      </c>
      <c r="AH516" s="52"/>
      <c r="AI516" s="877">
        <v>44365</v>
      </c>
      <c r="AJ516" s="653" t="s">
        <v>37</v>
      </c>
    </row>
    <row r="517" spans="1:36" ht="78" thickBot="1" x14ac:dyDescent="0.3">
      <c r="A517" s="809"/>
      <c r="B517" s="174"/>
      <c r="C517" s="165"/>
      <c r="D517" s="165"/>
      <c r="E517" s="165"/>
      <c r="F517" s="167"/>
      <c r="G517" s="167"/>
      <c r="H517" s="165"/>
      <c r="I517" s="167"/>
      <c r="J517" s="424"/>
      <c r="K517" s="157" t="s">
        <v>2156</v>
      </c>
      <c r="L517" s="433" t="s">
        <v>7952</v>
      </c>
      <c r="M517" s="924" t="s">
        <v>2156</v>
      </c>
      <c r="N517" s="924" t="s">
        <v>2156</v>
      </c>
      <c r="O517" s="157" t="s">
        <v>41</v>
      </c>
      <c r="P517" s="157">
        <v>1</v>
      </c>
      <c r="Q517" s="433" t="s">
        <v>2156</v>
      </c>
      <c r="R517" s="480" t="s">
        <v>2156</v>
      </c>
      <c r="S517" s="683" t="s">
        <v>47</v>
      </c>
      <c r="T517" s="329" t="s">
        <v>7946</v>
      </c>
      <c r="U517" s="86">
        <v>620</v>
      </c>
      <c r="V517" s="86"/>
      <c r="W517" s="86"/>
      <c r="X517" s="86">
        <v>564</v>
      </c>
      <c r="Y517" s="86"/>
      <c r="Z517" s="86"/>
      <c r="AA517" s="86" t="s">
        <v>10</v>
      </c>
      <c r="AB517" s="86" t="s">
        <v>16</v>
      </c>
      <c r="AC517" s="86">
        <v>2</v>
      </c>
      <c r="AD517" s="92" t="s">
        <v>7950</v>
      </c>
      <c r="AE517" s="92" t="s">
        <v>7943</v>
      </c>
      <c r="AF517" s="92" t="s">
        <v>1380</v>
      </c>
      <c r="AG517" s="93">
        <v>44363</v>
      </c>
      <c r="AH517" s="92"/>
      <c r="AI517" s="887">
        <v>44365</v>
      </c>
      <c r="AJ517" s="1108" t="s">
        <v>37</v>
      </c>
    </row>
    <row r="518" spans="1:36" ht="65.25" thickBot="1" x14ac:dyDescent="0.3">
      <c r="A518" s="339" t="s">
        <v>1641</v>
      </c>
      <c r="B518" s="116" t="s">
        <v>1641</v>
      </c>
      <c r="C518" s="95">
        <v>323</v>
      </c>
      <c r="D518" s="567" t="s">
        <v>53</v>
      </c>
      <c r="E518" s="567"/>
      <c r="F518" s="108"/>
      <c r="G518" s="108"/>
      <c r="H518" s="95"/>
      <c r="I518" s="108"/>
      <c r="J518" s="122"/>
      <c r="K518" s="476">
        <v>1038</v>
      </c>
      <c r="L518" s="396" t="s">
        <v>7061</v>
      </c>
      <c r="M518" s="945">
        <v>1771239.0558</v>
      </c>
      <c r="N518" s="265">
        <v>5468825.7685000002</v>
      </c>
      <c r="O518" s="84" t="s">
        <v>41</v>
      </c>
      <c r="P518" s="84">
        <v>1</v>
      </c>
      <c r="Q518" s="396" t="s">
        <v>2156</v>
      </c>
      <c r="R518" s="90" t="s">
        <v>2156</v>
      </c>
      <c r="S518" s="683" t="s">
        <v>47</v>
      </c>
      <c r="T518" s="329" t="s">
        <v>7062</v>
      </c>
      <c r="U518" s="86"/>
      <c r="V518" s="86">
        <v>1310</v>
      </c>
      <c r="W518" s="86">
        <v>1520</v>
      </c>
      <c r="X518" s="86"/>
      <c r="Y518" s="86">
        <v>930</v>
      </c>
      <c r="Z518" s="86">
        <v>1230</v>
      </c>
      <c r="AA518" s="86" t="s">
        <v>16</v>
      </c>
      <c r="AB518" s="86" t="s">
        <v>10</v>
      </c>
      <c r="AC518" s="1160">
        <v>2</v>
      </c>
      <c r="AD518" s="92" t="s">
        <v>7462</v>
      </c>
      <c r="AE518" s="92" t="s">
        <v>7063</v>
      </c>
      <c r="AF518" s="92" t="s">
        <v>1380</v>
      </c>
      <c r="AG518" s="743">
        <v>44183</v>
      </c>
      <c r="AH518" s="92"/>
      <c r="AI518" s="743">
        <v>44348</v>
      </c>
      <c r="AJ518" s="1108" t="s">
        <v>37</v>
      </c>
    </row>
    <row r="519" spans="1:36" ht="65.25" thickBot="1" x14ac:dyDescent="0.3">
      <c r="A519" s="339"/>
      <c r="B519" s="116"/>
      <c r="C519" s="95"/>
      <c r="D519" s="567"/>
      <c r="E519" s="567"/>
      <c r="F519" s="108"/>
      <c r="G519" s="108"/>
      <c r="H519" s="95"/>
      <c r="I519" s="108"/>
      <c r="J519" s="122"/>
      <c r="K519" s="252">
        <v>1039</v>
      </c>
      <c r="L519" s="355" t="s">
        <v>7064</v>
      </c>
      <c r="M519" s="967">
        <v>1771426.5696</v>
      </c>
      <c r="N519" s="911">
        <v>5468953.7185000004</v>
      </c>
      <c r="O519" s="125" t="s">
        <v>7065</v>
      </c>
      <c r="P519" s="145" t="s">
        <v>1316</v>
      </c>
      <c r="Q519" s="355" t="s">
        <v>7066</v>
      </c>
      <c r="R519" s="134" t="s">
        <v>85</v>
      </c>
      <c r="S519" s="683" t="s">
        <v>47</v>
      </c>
      <c r="T519" s="340" t="s">
        <v>7117</v>
      </c>
      <c r="U519" s="31"/>
      <c r="V519" s="31">
        <v>13850</v>
      </c>
      <c r="W519" s="31">
        <v>15410</v>
      </c>
      <c r="X519" s="31"/>
      <c r="Y519" s="86"/>
      <c r="Z519" s="86"/>
      <c r="AA519" s="31" t="s">
        <v>85</v>
      </c>
      <c r="AB519" s="31" t="s">
        <v>10</v>
      </c>
      <c r="AC519" s="31">
        <v>3</v>
      </c>
      <c r="AD519" s="40" t="s">
        <v>7463</v>
      </c>
      <c r="AE519" s="40" t="s">
        <v>7063</v>
      </c>
      <c r="AF519" s="40" t="s">
        <v>1380</v>
      </c>
      <c r="AG519" s="744">
        <v>44183</v>
      </c>
      <c r="AH519" s="40"/>
      <c r="AI519" s="744">
        <v>44348</v>
      </c>
      <c r="AJ519" s="652" t="s">
        <v>37</v>
      </c>
    </row>
    <row r="520" spans="1:36" ht="78" thickBot="1" x14ac:dyDescent="0.3">
      <c r="A520" s="339"/>
      <c r="B520" s="116"/>
      <c r="C520" s="95"/>
      <c r="D520" s="567"/>
      <c r="E520" s="567"/>
      <c r="F520" s="108"/>
      <c r="G520" s="108"/>
      <c r="H520" s="95"/>
      <c r="I520" s="108"/>
      <c r="J520" s="122"/>
      <c r="K520" s="252">
        <v>1040</v>
      </c>
      <c r="L520" s="355" t="s">
        <v>7067</v>
      </c>
      <c r="M520" s="967">
        <v>1771610.0981000001</v>
      </c>
      <c r="N520" s="911">
        <v>5469068.4912</v>
      </c>
      <c r="O520" s="125" t="s">
        <v>7068</v>
      </c>
      <c r="P520" s="145" t="s">
        <v>1316</v>
      </c>
      <c r="Q520" s="355" t="s">
        <v>7069</v>
      </c>
      <c r="R520" s="134" t="s">
        <v>85</v>
      </c>
      <c r="S520" s="656" t="s">
        <v>47</v>
      </c>
      <c r="T520" s="97" t="s">
        <v>7070</v>
      </c>
      <c r="U520" s="31"/>
      <c r="V520" s="31">
        <v>750</v>
      </c>
      <c r="W520" s="31">
        <v>1050</v>
      </c>
      <c r="X520" s="31"/>
      <c r="Y520" s="31"/>
      <c r="Z520" s="31"/>
      <c r="AA520" s="31" t="s">
        <v>85</v>
      </c>
      <c r="AB520" s="31" t="s">
        <v>16</v>
      </c>
      <c r="AC520" s="31">
        <v>3</v>
      </c>
      <c r="AD520" s="30" t="s">
        <v>7464</v>
      </c>
      <c r="AE520" s="40" t="s">
        <v>7063</v>
      </c>
      <c r="AF520" s="40" t="s">
        <v>1380</v>
      </c>
      <c r="AG520" s="744">
        <v>44183</v>
      </c>
      <c r="AH520" s="40"/>
      <c r="AI520" s="744">
        <v>44348</v>
      </c>
      <c r="AJ520" s="652" t="s">
        <v>37</v>
      </c>
    </row>
    <row r="521" spans="1:36" ht="78" thickBot="1" x14ac:dyDescent="0.3">
      <c r="A521" s="339"/>
      <c r="B521" s="116"/>
      <c r="C521" s="95"/>
      <c r="D521" s="567"/>
      <c r="E521" s="567"/>
      <c r="F521" s="108"/>
      <c r="G521" s="108"/>
      <c r="H521" s="95"/>
      <c r="I521" s="108"/>
      <c r="J521" s="122"/>
      <c r="K521" s="89" t="s">
        <v>2156</v>
      </c>
      <c r="L521" s="396" t="s">
        <v>7071</v>
      </c>
      <c r="M521" s="265"/>
      <c r="N521" s="265"/>
      <c r="O521" s="84" t="s">
        <v>7072</v>
      </c>
      <c r="P521" s="149" t="s">
        <v>1316</v>
      </c>
      <c r="Q521" s="396" t="s">
        <v>7073</v>
      </c>
      <c r="R521" s="90" t="s">
        <v>85</v>
      </c>
      <c r="S521" s="683" t="s">
        <v>47</v>
      </c>
      <c r="T521" s="197" t="s">
        <v>7074</v>
      </c>
      <c r="U521" s="197"/>
      <c r="V521" s="86">
        <v>750</v>
      </c>
      <c r="W521" s="86">
        <v>1050</v>
      </c>
      <c r="X521" s="197"/>
      <c r="Y521" s="86">
        <v>930</v>
      </c>
      <c r="Z521" s="86">
        <v>1230</v>
      </c>
      <c r="AA521" s="86" t="s">
        <v>10</v>
      </c>
      <c r="AB521" s="86" t="s">
        <v>10</v>
      </c>
      <c r="AC521" s="86">
        <v>1</v>
      </c>
      <c r="AD521" s="92" t="s">
        <v>7902</v>
      </c>
      <c r="AE521" s="92" t="s">
        <v>7063</v>
      </c>
      <c r="AF521" s="92" t="s">
        <v>1380</v>
      </c>
      <c r="AG521" s="743">
        <v>44183</v>
      </c>
      <c r="AH521" s="92"/>
      <c r="AI521" s="743">
        <v>44348</v>
      </c>
      <c r="AJ521" s="1108" t="s">
        <v>37</v>
      </c>
    </row>
    <row r="522" spans="1:36" ht="90.75" thickBot="1" x14ac:dyDescent="0.3">
      <c r="A522" s="339"/>
      <c r="B522" s="116"/>
      <c r="C522" s="95"/>
      <c r="D522" s="567"/>
      <c r="E522" s="567"/>
      <c r="F522" s="108"/>
      <c r="G522" s="108"/>
      <c r="H522" s="95"/>
      <c r="I522" s="108"/>
      <c r="J522" s="122"/>
      <c r="K522" s="189" t="s">
        <v>2156</v>
      </c>
      <c r="L522" s="355" t="s">
        <v>7075</v>
      </c>
      <c r="M522" s="911"/>
      <c r="N522" s="911"/>
      <c r="O522" s="125" t="s">
        <v>41</v>
      </c>
      <c r="P522" s="145">
        <v>1</v>
      </c>
      <c r="Q522" s="355" t="s">
        <v>2156</v>
      </c>
      <c r="R522" s="134" t="s">
        <v>2156</v>
      </c>
      <c r="S522" s="656" t="s">
        <v>47</v>
      </c>
      <c r="T522" s="97" t="s">
        <v>7076</v>
      </c>
      <c r="U522" s="97">
        <v>1050</v>
      </c>
      <c r="V522" s="31"/>
      <c r="W522" s="31"/>
      <c r="X522" s="97">
        <v>1000</v>
      </c>
      <c r="Y522" s="31"/>
      <c r="Z522" s="31"/>
      <c r="AA522" s="31" t="s">
        <v>10</v>
      </c>
      <c r="AB522" s="31" t="s">
        <v>10</v>
      </c>
      <c r="AC522" s="130" t="s">
        <v>4099</v>
      </c>
      <c r="AD522" s="40" t="s">
        <v>7903</v>
      </c>
      <c r="AE522" s="92" t="s">
        <v>7077</v>
      </c>
      <c r="AF522" s="40" t="s">
        <v>1380</v>
      </c>
      <c r="AG522" s="744">
        <v>44015</v>
      </c>
      <c r="AH522" s="40"/>
      <c r="AI522" s="744">
        <v>44348</v>
      </c>
      <c r="AJ522" s="652" t="s">
        <v>37</v>
      </c>
    </row>
    <row r="523" spans="1:36" ht="77.25" x14ac:dyDescent="0.25">
      <c r="A523" s="339"/>
      <c r="B523" s="116"/>
      <c r="C523" s="95"/>
      <c r="D523" s="567"/>
      <c r="E523" s="567"/>
      <c r="F523" s="108"/>
      <c r="G523" s="108"/>
      <c r="H523" s="95"/>
      <c r="I523" s="108"/>
      <c r="J523" s="122"/>
      <c r="K523" s="189">
        <v>1041</v>
      </c>
      <c r="L523" s="355" t="s">
        <v>7078</v>
      </c>
      <c r="M523" s="967">
        <v>1766903.8703000001</v>
      </c>
      <c r="N523" s="911">
        <v>5462646.608</v>
      </c>
      <c r="O523" s="735" t="s">
        <v>7079</v>
      </c>
      <c r="P523" s="125">
        <v>3</v>
      </c>
      <c r="Q523" s="355" t="s">
        <v>7474</v>
      </c>
      <c r="R523" s="134" t="s">
        <v>85</v>
      </c>
      <c r="S523" s="656" t="s">
        <v>47</v>
      </c>
      <c r="T523" s="340" t="s">
        <v>7080</v>
      </c>
      <c r="U523" s="31"/>
      <c r="V523" s="31">
        <v>3260</v>
      </c>
      <c r="W523" s="31">
        <v>3470</v>
      </c>
      <c r="X523" s="31"/>
      <c r="Y523" s="31" t="s">
        <v>7081</v>
      </c>
      <c r="Z523" s="31"/>
      <c r="AA523" s="31" t="s">
        <v>85</v>
      </c>
      <c r="AB523" s="31" t="s">
        <v>10</v>
      </c>
      <c r="AC523" s="31">
        <v>3</v>
      </c>
      <c r="AD523" s="40" t="s">
        <v>7477</v>
      </c>
      <c r="AE523" s="40" t="s">
        <v>7082</v>
      </c>
      <c r="AF523" s="40" t="s">
        <v>1380</v>
      </c>
      <c r="AG523" s="744">
        <v>44183</v>
      </c>
      <c r="AH523" s="40"/>
      <c r="AI523" s="744">
        <v>44348</v>
      </c>
      <c r="AJ523" s="652" t="s">
        <v>37</v>
      </c>
    </row>
    <row r="524" spans="1:36" ht="115.5" x14ac:dyDescent="0.25">
      <c r="A524" s="339"/>
      <c r="B524" s="116"/>
      <c r="C524" s="95"/>
      <c r="D524" s="567"/>
      <c r="E524" s="567"/>
      <c r="F524" s="108"/>
      <c r="G524" s="108"/>
      <c r="H524" s="95"/>
      <c r="I524" s="108"/>
      <c r="J524" s="122"/>
      <c r="K524" s="191"/>
      <c r="L524" s="359"/>
      <c r="M524" s="913"/>
      <c r="N524" s="913"/>
      <c r="O524" s="108"/>
      <c r="P524" s="95"/>
      <c r="Q524" s="359"/>
      <c r="R524" s="98"/>
      <c r="S524" s="658" t="s">
        <v>4016</v>
      </c>
      <c r="T524" s="337" t="s">
        <v>7083</v>
      </c>
      <c r="V524" s="2">
        <v>4410</v>
      </c>
      <c r="W524" s="2">
        <v>4810</v>
      </c>
      <c r="Y524" s="2">
        <v>3260</v>
      </c>
      <c r="Z524" s="2">
        <v>3470</v>
      </c>
      <c r="AA524" s="2" t="s">
        <v>16</v>
      </c>
      <c r="AB524" s="2" t="s">
        <v>10</v>
      </c>
      <c r="AC524" s="2">
        <v>2</v>
      </c>
      <c r="AD524" s="3" t="s">
        <v>7118</v>
      </c>
      <c r="AE524" s="3" t="s">
        <v>7082</v>
      </c>
      <c r="AF524" s="3" t="s">
        <v>1380</v>
      </c>
      <c r="AG524" s="747">
        <v>44183</v>
      </c>
      <c r="AI524" s="747">
        <v>44348</v>
      </c>
      <c r="AJ524" s="1107" t="s">
        <v>37</v>
      </c>
    </row>
    <row r="525" spans="1:36" ht="90.75" thickBot="1" x14ac:dyDescent="0.3">
      <c r="A525" s="339"/>
      <c r="B525" s="116"/>
      <c r="C525" s="95"/>
      <c r="D525" s="567"/>
      <c r="E525" s="567"/>
      <c r="F525" s="108"/>
      <c r="G525" s="108"/>
      <c r="H525" s="95"/>
      <c r="I525" s="108"/>
      <c r="J525" s="122"/>
      <c r="K525" s="190"/>
      <c r="L525" s="357"/>
      <c r="M525" s="912"/>
      <c r="N525" s="912"/>
      <c r="O525" s="96"/>
      <c r="P525" s="96"/>
      <c r="Q525" s="357"/>
      <c r="R525" s="100"/>
      <c r="S525" s="657" t="s">
        <v>7023</v>
      </c>
      <c r="T525" s="335" t="s">
        <v>7084</v>
      </c>
      <c r="U525" s="25"/>
      <c r="V525" s="25">
        <v>4830</v>
      </c>
      <c r="W525" s="25">
        <v>5270</v>
      </c>
      <c r="X525" s="25"/>
      <c r="Y525" s="25">
        <v>4410</v>
      </c>
      <c r="Z525" s="25">
        <v>4810</v>
      </c>
      <c r="AA525" s="25" t="s">
        <v>16</v>
      </c>
      <c r="AB525" s="25" t="s">
        <v>10</v>
      </c>
      <c r="AC525" s="25">
        <v>2</v>
      </c>
      <c r="AD525" s="51" t="s">
        <v>7119</v>
      </c>
      <c r="AE525" s="52" t="s">
        <v>7082</v>
      </c>
      <c r="AF525" s="52" t="s">
        <v>1380</v>
      </c>
      <c r="AG525" s="745">
        <v>44183</v>
      </c>
      <c r="AH525" s="52"/>
      <c r="AI525" s="745">
        <v>44348</v>
      </c>
      <c r="AJ525" s="653" t="s">
        <v>37</v>
      </c>
    </row>
    <row r="526" spans="1:36" ht="39.75" thickBot="1" x14ac:dyDescent="0.3">
      <c r="A526" s="339"/>
      <c r="B526" s="116"/>
      <c r="C526" s="95"/>
      <c r="D526" s="567"/>
      <c r="E526" s="567"/>
      <c r="F526" s="108"/>
      <c r="G526" s="108"/>
      <c r="H526" s="95"/>
      <c r="I526" s="108"/>
      <c r="J526" s="122"/>
      <c r="K526" s="476">
        <v>1030</v>
      </c>
      <c r="L526" s="396" t="s">
        <v>7085</v>
      </c>
      <c r="M526" s="265">
        <v>1764631.1246</v>
      </c>
      <c r="N526" s="265">
        <v>5457939.9853999997</v>
      </c>
      <c r="O526" s="84" t="s">
        <v>41</v>
      </c>
      <c r="P526" s="84">
        <v>1</v>
      </c>
      <c r="Q526" s="396" t="s">
        <v>2156</v>
      </c>
      <c r="R526" s="90" t="s">
        <v>2156</v>
      </c>
      <c r="S526" s="656" t="s">
        <v>47</v>
      </c>
      <c r="T526" s="329" t="s">
        <v>7086</v>
      </c>
      <c r="U526" s="86">
        <v>1290</v>
      </c>
      <c r="V526" s="86">
        <v>1180</v>
      </c>
      <c r="W526" s="86">
        <v>1290</v>
      </c>
      <c r="X526" s="86"/>
      <c r="Y526" s="86"/>
      <c r="Z526" s="86"/>
      <c r="AA526" s="86" t="s">
        <v>85</v>
      </c>
      <c r="AB526" s="86" t="s">
        <v>16</v>
      </c>
      <c r="AC526" s="86">
        <v>3</v>
      </c>
      <c r="AD526" s="92" t="s">
        <v>7465</v>
      </c>
      <c r="AE526" s="92" t="s">
        <v>7087</v>
      </c>
      <c r="AF526" s="92" t="s">
        <v>1380</v>
      </c>
      <c r="AG526" s="743">
        <v>44186</v>
      </c>
      <c r="AH526" s="92"/>
      <c r="AI526" s="743">
        <v>44348</v>
      </c>
      <c r="AJ526" s="1108" t="s">
        <v>37</v>
      </c>
    </row>
    <row r="527" spans="1:36" ht="78" thickBot="1" x14ac:dyDescent="0.3">
      <c r="A527" s="339"/>
      <c r="B527" s="116"/>
      <c r="C527" s="95"/>
      <c r="D527" s="567"/>
      <c r="E527" s="567"/>
      <c r="F527" s="108"/>
      <c r="G527" s="108"/>
      <c r="H527" s="95"/>
      <c r="I527" s="108"/>
      <c r="J527" s="122"/>
      <c r="K527" s="189">
        <v>1031</v>
      </c>
      <c r="L527" s="355" t="s">
        <v>7088</v>
      </c>
      <c r="M527" s="967">
        <v>1764600.6982</v>
      </c>
      <c r="N527" s="911">
        <v>5457861.1955000004</v>
      </c>
      <c r="O527" s="125" t="s">
        <v>41</v>
      </c>
      <c r="P527" s="125">
        <v>1</v>
      </c>
      <c r="Q527" s="355" t="s">
        <v>2156</v>
      </c>
      <c r="R527" s="134" t="s">
        <v>2156</v>
      </c>
      <c r="S527" s="656" t="s">
        <v>47</v>
      </c>
      <c r="T527" s="340" t="s">
        <v>7089</v>
      </c>
      <c r="U527" s="31"/>
      <c r="V527" s="31"/>
      <c r="W527" s="31"/>
      <c r="X527" s="31"/>
      <c r="Y527" s="31">
        <v>970</v>
      </c>
      <c r="Z527" s="31">
        <v>1280</v>
      </c>
      <c r="AA527" s="31" t="s">
        <v>85</v>
      </c>
      <c r="AB527" s="31" t="s">
        <v>85</v>
      </c>
      <c r="AC527" s="31">
        <v>3</v>
      </c>
      <c r="AD527" s="40" t="s">
        <v>7478</v>
      </c>
      <c r="AE527" s="40" t="s">
        <v>1634</v>
      </c>
      <c r="AF527" s="40" t="s">
        <v>1380</v>
      </c>
      <c r="AG527" s="744">
        <v>44019</v>
      </c>
      <c r="AH527" s="40"/>
      <c r="AI527" s="744">
        <v>44348</v>
      </c>
      <c r="AJ527" s="652" t="s">
        <v>37</v>
      </c>
    </row>
    <row r="528" spans="1:36" ht="78" thickBot="1" x14ac:dyDescent="0.3">
      <c r="A528" s="339"/>
      <c r="B528" s="116"/>
      <c r="C528" s="95"/>
      <c r="D528" s="567"/>
      <c r="E528" s="567"/>
      <c r="F528" s="108"/>
      <c r="G528" s="108"/>
      <c r="H528" s="95"/>
      <c r="I528" s="108"/>
      <c r="J528" s="122"/>
      <c r="K528" s="189">
        <v>1032</v>
      </c>
      <c r="L528" s="355" t="s">
        <v>7090</v>
      </c>
      <c r="M528" s="967">
        <v>1759706.513</v>
      </c>
      <c r="N528" s="911">
        <v>5450640.1222000001</v>
      </c>
      <c r="O528" s="125" t="s">
        <v>41</v>
      </c>
      <c r="P528" s="125">
        <v>1</v>
      </c>
      <c r="Q528" s="355" t="s">
        <v>2156</v>
      </c>
      <c r="R528" s="134" t="s">
        <v>2156</v>
      </c>
      <c r="S528" s="656" t="s">
        <v>47</v>
      </c>
      <c r="T528" s="340" t="s">
        <v>7091</v>
      </c>
      <c r="U528" s="31"/>
      <c r="V528" s="31">
        <v>940</v>
      </c>
      <c r="W528" s="31">
        <v>1230</v>
      </c>
      <c r="X528" s="31"/>
      <c r="Y528" s="31"/>
      <c r="Z528" s="31"/>
      <c r="AA528" s="31" t="s">
        <v>85</v>
      </c>
      <c r="AB528" s="31" t="s">
        <v>85</v>
      </c>
      <c r="AC528" s="31">
        <v>3</v>
      </c>
      <c r="AD528" s="40" t="s">
        <v>7479</v>
      </c>
      <c r="AE528" s="40" t="s">
        <v>1634</v>
      </c>
      <c r="AF528" s="40" t="s">
        <v>1380</v>
      </c>
      <c r="AG528" s="744">
        <v>44214</v>
      </c>
      <c r="AH528" s="40"/>
      <c r="AI528" s="744">
        <v>44349</v>
      </c>
      <c r="AJ528" s="652" t="s">
        <v>37</v>
      </c>
    </row>
    <row r="529" spans="1:36" ht="103.5" thickBot="1" x14ac:dyDescent="0.3">
      <c r="A529" s="339"/>
      <c r="B529" s="116"/>
      <c r="C529" s="95"/>
      <c r="D529" s="567"/>
      <c r="E529" s="567"/>
      <c r="F529" s="108"/>
      <c r="G529" s="108"/>
      <c r="H529" s="95"/>
      <c r="I529" s="108"/>
      <c r="J529" s="122"/>
      <c r="K529" s="189">
        <v>1033</v>
      </c>
      <c r="L529" s="355" t="s">
        <v>7092</v>
      </c>
      <c r="M529" s="911">
        <v>1774199.9231</v>
      </c>
      <c r="N529" s="911">
        <v>5472474.4698999999</v>
      </c>
      <c r="O529" s="125" t="s">
        <v>41</v>
      </c>
      <c r="P529" s="125">
        <v>1</v>
      </c>
      <c r="Q529" s="355" t="s">
        <v>2156</v>
      </c>
      <c r="R529" s="134" t="s">
        <v>2156</v>
      </c>
      <c r="S529" s="656" t="s">
        <v>47</v>
      </c>
      <c r="T529" s="340" t="s">
        <v>7093</v>
      </c>
      <c r="U529" s="31"/>
      <c r="V529" s="31"/>
      <c r="W529" s="31"/>
      <c r="X529" s="31"/>
      <c r="Y529" s="31">
        <v>990</v>
      </c>
      <c r="Z529" s="31">
        <v>1290</v>
      </c>
      <c r="AA529" s="31" t="s">
        <v>85</v>
      </c>
      <c r="AB529" s="31" t="s">
        <v>85</v>
      </c>
      <c r="AC529" s="31">
        <v>3</v>
      </c>
      <c r="AD529" s="40" t="s">
        <v>7480</v>
      </c>
      <c r="AE529" s="40" t="s">
        <v>1634</v>
      </c>
      <c r="AF529" s="40" t="s">
        <v>1380</v>
      </c>
      <c r="AG529" s="744">
        <v>44214</v>
      </c>
      <c r="AH529" s="40"/>
      <c r="AI529" s="744">
        <v>44349</v>
      </c>
      <c r="AJ529" s="652" t="s">
        <v>37</v>
      </c>
    </row>
    <row r="530" spans="1:36" ht="116.25" thickBot="1" x14ac:dyDescent="0.3">
      <c r="A530" s="339"/>
      <c r="B530" s="116"/>
      <c r="C530" s="95"/>
      <c r="D530" s="567"/>
      <c r="E530" s="567"/>
      <c r="F530" s="108"/>
      <c r="G530" s="108"/>
      <c r="H530" s="95"/>
      <c r="I530" s="108"/>
      <c r="J530" s="122"/>
      <c r="K530" s="189" t="s">
        <v>2156</v>
      </c>
      <c r="L530" s="355" t="s">
        <v>7094</v>
      </c>
      <c r="M530" s="967"/>
      <c r="N530" s="911"/>
      <c r="O530" s="125" t="s">
        <v>41</v>
      </c>
      <c r="P530" s="125">
        <v>1</v>
      </c>
      <c r="Q530" s="355" t="s">
        <v>2156</v>
      </c>
      <c r="R530" s="134" t="s">
        <v>2156</v>
      </c>
      <c r="S530" s="656" t="s">
        <v>47</v>
      </c>
      <c r="T530" s="340" t="s">
        <v>7095</v>
      </c>
      <c r="U530" s="340"/>
      <c r="V530" s="31">
        <v>1900</v>
      </c>
      <c r="W530" s="31">
        <v>2340</v>
      </c>
      <c r="X530" s="31"/>
      <c r="Y530" s="31">
        <v>990</v>
      </c>
      <c r="Z530" s="31">
        <v>1290</v>
      </c>
      <c r="AA530" s="31" t="s">
        <v>16</v>
      </c>
      <c r="AB530" s="31" t="s">
        <v>16</v>
      </c>
      <c r="AC530" s="31">
        <v>2</v>
      </c>
      <c r="AD530" s="40" t="s">
        <v>7096</v>
      </c>
      <c r="AE530" s="40" t="s">
        <v>1634</v>
      </c>
      <c r="AF530" s="40" t="s">
        <v>1380</v>
      </c>
      <c r="AG530" s="744">
        <v>43848</v>
      </c>
      <c r="AH530" s="40"/>
      <c r="AI530" s="744">
        <v>44214</v>
      </c>
      <c r="AJ530" s="652" t="s">
        <v>37</v>
      </c>
    </row>
    <row r="531" spans="1:36" ht="78" thickBot="1" x14ac:dyDescent="0.3">
      <c r="A531" s="339"/>
      <c r="B531" s="116"/>
      <c r="C531" s="95"/>
      <c r="D531" s="567"/>
      <c r="E531" s="567"/>
      <c r="F531" s="108"/>
      <c r="G531" s="108"/>
      <c r="H531" s="95"/>
      <c r="I531" s="108"/>
      <c r="J531" s="122"/>
      <c r="K531" s="189">
        <v>1073</v>
      </c>
      <c r="L531" s="355" t="s">
        <v>7097</v>
      </c>
      <c r="M531" s="967">
        <v>1764639.7819000001</v>
      </c>
      <c r="N531" s="911">
        <v>5457960.6160000004</v>
      </c>
      <c r="O531" s="125" t="s">
        <v>41</v>
      </c>
      <c r="P531" s="125">
        <v>1</v>
      </c>
      <c r="Q531" s="355" t="s">
        <v>2156</v>
      </c>
      <c r="R531" s="134" t="s">
        <v>2156</v>
      </c>
      <c r="S531" s="656" t="s">
        <v>47</v>
      </c>
      <c r="T531" s="340" t="s">
        <v>7098</v>
      </c>
      <c r="U531" s="340"/>
      <c r="V531" s="97">
        <v>1900</v>
      </c>
      <c r="W531" s="97">
        <v>2340</v>
      </c>
      <c r="X531" s="31"/>
      <c r="Y531" s="97">
        <v>0</v>
      </c>
      <c r="Z531" s="97">
        <v>500</v>
      </c>
      <c r="AA531" s="31" t="s">
        <v>16</v>
      </c>
      <c r="AB531" s="31" t="s">
        <v>16</v>
      </c>
      <c r="AC531" s="31">
        <v>2</v>
      </c>
      <c r="AD531" s="40" t="s">
        <v>7481</v>
      </c>
      <c r="AE531" s="40" t="s">
        <v>1634</v>
      </c>
      <c r="AF531" s="40" t="s">
        <v>1380</v>
      </c>
      <c r="AG531" s="744">
        <v>44214</v>
      </c>
      <c r="AH531" s="40"/>
      <c r="AI531" s="744">
        <v>44349</v>
      </c>
      <c r="AJ531" s="652" t="s">
        <v>37</v>
      </c>
    </row>
    <row r="532" spans="1:36" ht="90.75" thickBot="1" x14ac:dyDescent="0.3">
      <c r="A532" s="339"/>
      <c r="B532" s="116"/>
      <c r="C532" s="95"/>
      <c r="D532" s="567"/>
      <c r="E532" s="567"/>
      <c r="F532" s="108"/>
      <c r="G532" s="108"/>
      <c r="H532" s="95"/>
      <c r="I532" s="108"/>
      <c r="J532" s="122"/>
      <c r="K532" s="89">
        <v>1028</v>
      </c>
      <c r="L532" s="396" t="s">
        <v>7099</v>
      </c>
      <c r="M532" s="945">
        <v>1749864.2161000001</v>
      </c>
      <c r="N532" s="265">
        <v>5438694.5411999999</v>
      </c>
      <c r="O532" s="84" t="s">
        <v>41</v>
      </c>
      <c r="P532" s="84">
        <v>1</v>
      </c>
      <c r="Q532" s="396" t="s">
        <v>2156</v>
      </c>
      <c r="R532" s="90" t="s">
        <v>2156</v>
      </c>
      <c r="S532" s="733" t="s">
        <v>47</v>
      </c>
      <c r="T532" s="329" t="s">
        <v>7100</v>
      </c>
      <c r="U532" s="86"/>
      <c r="V532" s="86">
        <v>1370</v>
      </c>
      <c r="W532" s="86">
        <v>1520</v>
      </c>
      <c r="X532" s="86"/>
      <c r="Y532" s="86">
        <v>290</v>
      </c>
      <c r="Z532" s="86">
        <v>440</v>
      </c>
      <c r="AA532" s="86" t="s">
        <v>16</v>
      </c>
      <c r="AB532" s="86" t="s">
        <v>10</v>
      </c>
      <c r="AC532" s="86">
        <v>2</v>
      </c>
      <c r="AD532" s="92" t="s">
        <v>7466</v>
      </c>
      <c r="AE532" s="92" t="s">
        <v>7087</v>
      </c>
      <c r="AF532" s="92" t="s">
        <v>1380</v>
      </c>
      <c r="AG532" s="743">
        <v>43843</v>
      </c>
      <c r="AH532" s="92"/>
      <c r="AI532" s="743">
        <v>44348</v>
      </c>
      <c r="AJ532" s="1108" t="s">
        <v>37</v>
      </c>
    </row>
    <row r="533" spans="1:36" ht="51.75" x14ac:dyDescent="0.25">
      <c r="A533" s="339"/>
      <c r="B533" s="116"/>
      <c r="C533" s="95"/>
      <c r="D533" s="567"/>
      <c r="E533" s="567"/>
      <c r="F533" s="108"/>
      <c r="G533" s="108"/>
      <c r="H533" s="95"/>
      <c r="I533" s="108"/>
      <c r="J533" s="122"/>
      <c r="K533" s="191">
        <v>1029</v>
      </c>
      <c r="L533" s="359" t="s">
        <v>7101</v>
      </c>
      <c r="M533" s="981">
        <v>1749429.1573999999</v>
      </c>
      <c r="N533" s="913">
        <v>5437958.9309999999</v>
      </c>
      <c r="O533" s="95" t="s">
        <v>41</v>
      </c>
      <c r="P533" s="95">
        <v>2</v>
      </c>
      <c r="Q533" s="359" t="s">
        <v>2156</v>
      </c>
      <c r="R533" s="98" t="s">
        <v>2156</v>
      </c>
      <c r="S533" s="658" t="s">
        <v>47</v>
      </c>
      <c r="T533" s="337" t="s">
        <v>7102</v>
      </c>
      <c r="V533" s="2">
        <v>150</v>
      </c>
      <c r="W533" s="2">
        <v>310</v>
      </c>
      <c r="AA533" s="2" t="s">
        <v>85</v>
      </c>
      <c r="AB533" s="2" t="s">
        <v>10</v>
      </c>
      <c r="AC533" s="2">
        <v>3</v>
      </c>
      <c r="AD533" s="16" t="s">
        <v>7467</v>
      </c>
      <c r="AE533" s="3" t="s">
        <v>7087</v>
      </c>
      <c r="AF533" s="3" t="s">
        <v>1380</v>
      </c>
      <c r="AG533" s="747">
        <v>43843</v>
      </c>
      <c r="AI533" s="747">
        <v>44348</v>
      </c>
      <c r="AJ533" s="1107" t="s">
        <v>37</v>
      </c>
    </row>
    <row r="534" spans="1:36" ht="52.5" thickBot="1" x14ac:dyDescent="0.3">
      <c r="A534" s="339"/>
      <c r="B534" s="116"/>
      <c r="C534" s="95"/>
      <c r="D534" s="567"/>
      <c r="E534" s="567"/>
      <c r="F534" s="108"/>
      <c r="G534" s="108"/>
      <c r="H534" s="95"/>
      <c r="I534" s="108"/>
      <c r="J534" s="122"/>
      <c r="K534" s="191"/>
      <c r="L534" s="359"/>
      <c r="M534" s="981"/>
      <c r="N534" s="913"/>
      <c r="O534" s="95"/>
      <c r="P534" s="95"/>
      <c r="Q534" s="359"/>
      <c r="R534" s="98"/>
      <c r="S534" s="658" t="s">
        <v>91</v>
      </c>
      <c r="T534" s="337" t="s">
        <v>7103</v>
      </c>
      <c r="V534" s="2">
        <v>1310</v>
      </c>
      <c r="W534" s="2">
        <v>1410</v>
      </c>
      <c r="Y534" s="2">
        <v>150</v>
      </c>
      <c r="Z534" s="2">
        <v>310</v>
      </c>
      <c r="AA534" s="2" t="s">
        <v>16</v>
      </c>
      <c r="AB534" s="2" t="s">
        <v>16</v>
      </c>
      <c r="AC534" s="2">
        <v>2</v>
      </c>
      <c r="AD534" s="16" t="s">
        <v>7468</v>
      </c>
      <c r="AE534" s="3" t="s">
        <v>7087</v>
      </c>
      <c r="AF534" s="3" t="s">
        <v>1380</v>
      </c>
      <c r="AG534" s="747">
        <v>43843</v>
      </c>
      <c r="AI534" s="747">
        <v>44348</v>
      </c>
      <c r="AJ534" s="1107" t="s">
        <v>37</v>
      </c>
    </row>
    <row r="535" spans="1:36" ht="90" x14ac:dyDescent="0.25">
      <c r="A535" s="339"/>
      <c r="B535" s="116"/>
      <c r="C535" s="95"/>
      <c r="D535" s="567"/>
      <c r="E535" s="567"/>
      <c r="F535" s="108"/>
      <c r="G535" s="108"/>
      <c r="H535" s="95"/>
      <c r="I535" s="108"/>
      <c r="J535" s="122"/>
      <c r="K535" s="189">
        <v>1034</v>
      </c>
      <c r="L535" s="355" t="s">
        <v>7104</v>
      </c>
      <c r="M535" s="967">
        <v>1750466.7161999999</v>
      </c>
      <c r="N535" s="911">
        <v>5439600.4950999999</v>
      </c>
      <c r="O535" s="125" t="s">
        <v>41</v>
      </c>
      <c r="P535" s="145" t="s">
        <v>3668</v>
      </c>
      <c r="Q535" s="355" t="s">
        <v>2156</v>
      </c>
      <c r="R535" s="125" t="s">
        <v>2156</v>
      </c>
      <c r="S535" s="656" t="s">
        <v>47</v>
      </c>
      <c r="T535" s="340" t="s">
        <v>7105</v>
      </c>
      <c r="U535" s="97"/>
      <c r="V535" s="31">
        <v>950</v>
      </c>
      <c r="W535" s="31">
        <v>1180</v>
      </c>
      <c r="X535" s="31"/>
      <c r="Y535" s="31">
        <v>0</v>
      </c>
      <c r="Z535" s="31">
        <v>480</v>
      </c>
      <c r="AA535" s="31" t="s">
        <v>16</v>
      </c>
      <c r="AB535" s="31" t="s">
        <v>10</v>
      </c>
      <c r="AC535" s="130" t="s">
        <v>4668</v>
      </c>
      <c r="AD535" s="40" t="s">
        <v>7482</v>
      </c>
      <c r="AE535" s="40" t="s">
        <v>1634</v>
      </c>
      <c r="AF535" s="40" t="s">
        <v>1380</v>
      </c>
      <c r="AG535" s="744">
        <v>44214</v>
      </c>
      <c r="AH535" s="40"/>
      <c r="AI535" s="744">
        <v>44349</v>
      </c>
      <c r="AJ535" s="652" t="s">
        <v>37</v>
      </c>
    </row>
    <row r="536" spans="1:36" ht="128.25" x14ac:dyDescent="0.25">
      <c r="A536" s="339"/>
      <c r="B536" s="116"/>
      <c r="C536" s="95"/>
      <c r="D536" s="567"/>
      <c r="E536" s="567"/>
      <c r="F536" s="108"/>
      <c r="G536" s="108"/>
      <c r="H536" s="95"/>
      <c r="I536" s="108"/>
      <c r="J536" s="122"/>
      <c r="K536" s="191"/>
      <c r="L536" s="359"/>
      <c r="M536" s="913"/>
      <c r="N536" s="913"/>
      <c r="O536" s="95"/>
      <c r="P536" s="146"/>
      <c r="Q536" s="359"/>
      <c r="R536" s="95"/>
      <c r="S536" s="658" t="s">
        <v>91</v>
      </c>
      <c r="T536" s="179" t="s">
        <v>7106</v>
      </c>
      <c r="U536" s="117"/>
      <c r="V536" s="24"/>
      <c r="W536" s="24"/>
      <c r="X536" s="24"/>
      <c r="Y536" s="24">
        <v>1190</v>
      </c>
      <c r="Z536" s="24">
        <v>1420</v>
      </c>
      <c r="AA536" s="24" t="s">
        <v>85</v>
      </c>
      <c r="AB536" s="24" t="s">
        <v>16</v>
      </c>
      <c r="AC536" s="24">
        <v>3</v>
      </c>
      <c r="AD536" s="46" t="s">
        <v>7107</v>
      </c>
      <c r="AE536" s="46" t="s">
        <v>1634</v>
      </c>
      <c r="AF536" s="46" t="s">
        <v>1380</v>
      </c>
      <c r="AG536" s="746">
        <v>44214</v>
      </c>
      <c r="AH536" s="46"/>
      <c r="AI536" s="746">
        <v>44214</v>
      </c>
      <c r="AJ536" s="1107" t="s">
        <v>37</v>
      </c>
    </row>
    <row r="537" spans="1:36" ht="90" x14ac:dyDescent="0.25">
      <c r="A537" s="339"/>
      <c r="B537" s="116"/>
      <c r="C537" s="95"/>
      <c r="D537" s="567"/>
      <c r="E537" s="567"/>
      <c r="F537" s="108"/>
      <c r="G537" s="108"/>
      <c r="H537" s="95"/>
      <c r="I537" s="108"/>
      <c r="J537" s="122"/>
      <c r="K537" s="191"/>
      <c r="L537" s="359"/>
      <c r="M537" s="913"/>
      <c r="N537" s="913"/>
      <c r="O537" s="95"/>
      <c r="P537" s="146"/>
      <c r="Q537" s="359"/>
      <c r="R537" s="95"/>
      <c r="S537" s="658" t="s">
        <v>92</v>
      </c>
      <c r="T537" s="179"/>
      <c r="U537" s="117"/>
      <c r="V537" s="24"/>
      <c r="W537" s="24"/>
      <c r="X537" s="24"/>
      <c r="Y537" s="24"/>
      <c r="Z537" s="24"/>
      <c r="AA537" s="24"/>
      <c r="AB537" s="24"/>
      <c r="AC537" s="24"/>
      <c r="AD537" s="46" t="s">
        <v>7108</v>
      </c>
      <c r="AE537" s="46" t="s">
        <v>1634</v>
      </c>
      <c r="AF537" s="46" t="s">
        <v>1380</v>
      </c>
      <c r="AG537" s="746">
        <v>44214</v>
      </c>
      <c r="AH537" s="46"/>
      <c r="AI537" s="746">
        <v>44214</v>
      </c>
      <c r="AJ537" s="1107" t="s">
        <v>37</v>
      </c>
    </row>
    <row r="538" spans="1:36" ht="90" x14ac:dyDescent="0.25">
      <c r="A538" s="339"/>
      <c r="B538" s="116"/>
      <c r="C538" s="95"/>
      <c r="D538" s="567"/>
      <c r="E538" s="567"/>
      <c r="F538" s="108"/>
      <c r="G538" s="108"/>
      <c r="H538" s="95"/>
      <c r="I538" s="108"/>
      <c r="J538" s="122"/>
      <c r="K538" s="191"/>
      <c r="L538" s="359"/>
      <c r="M538" s="913"/>
      <c r="N538" s="913"/>
      <c r="O538" s="95"/>
      <c r="P538" s="146"/>
      <c r="Q538" s="359"/>
      <c r="R538" s="95"/>
      <c r="S538" s="658" t="s">
        <v>99</v>
      </c>
      <c r="T538" s="179"/>
      <c r="U538" s="117"/>
      <c r="V538" s="24"/>
      <c r="W538" s="24"/>
      <c r="X538" s="24"/>
      <c r="Y538" s="24"/>
      <c r="Z538" s="24"/>
      <c r="AA538" s="24"/>
      <c r="AB538" s="24"/>
      <c r="AC538" s="24"/>
      <c r="AD538" s="46" t="s">
        <v>7109</v>
      </c>
      <c r="AE538" s="46" t="s">
        <v>1634</v>
      </c>
      <c r="AF538" s="46" t="s">
        <v>1380</v>
      </c>
      <c r="AG538" s="746">
        <v>44214</v>
      </c>
      <c r="AH538" s="46"/>
      <c r="AI538" s="746">
        <v>44214</v>
      </c>
      <c r="AJ538" s="1107" t="s">
        <v>37</v>
      </c>
    </row>
    <row r="539" spans="1:36" ht="129" thickBot="1" x14ac:dyDescent="0.3">
      <c r="A539" s="339"/>
      <c r="B539" s="116"/>
      <c r="C539" s="95"/>
      <c r="D539" s="567"/>
      <c r="E539" s="567"/>
      <c r="F539" s="108"/>
      <c r="G539" s="108"/>
      <c r="H539" s="95"/>
      <c r="I539" s="108"/>
      <c r="J539" s="122"/>
      <c r="K539" s="191"/>
      <c r="L539" s="359"/>
      <c r="M539" s="913"/>
      <c r="N539" s="913"/>
      <c r="O539" s="95"/>
      <c r="P539" s="146"/>
      <c r="Q539" s="359"/>
      <c r="R539" s="95"/>
      <c r="S539" s="657" t="s">
        <v>100</v>
      </c>
      <c r="T539" s="335"/>
      <c r="U539" s="120"/>
      <c r="V539" s="25"/>
      <c r="W539" s="25"/>
      <c r="X539" s="25"/>
      <c r="Y539" s="25"/>
      <c r="Z539" s="25"/>
      <c r="AA539" s="25"/>
      <c r="AB539" s="25"/>
      <c r="AC539" s="25"/>
      <c r="AD539" s="52" t="s">
        <v>7110</v>
      </c>
      <c r="AE539" s="52" t="s">
        <v>1634</v>
      </c>
      <c r="AF539" s="52" t="s">
        <v>1380</v>
      </c>
      <c r="AG539" s="745">
        <v>44214</v>
      </c>
      <c r="AH539" s="52"/>
      <c r="AI539" s="745">
        <v>44214</v>
      </c>
      <c r="AJ539" s="653" t="s">
        <v>37</v>
      </c>
    </row>
    <row r="540" spans="1:36" ht="39" x14ac:dyDescent="0.25">
      <c r="A540" s="339"/>
      <c r="B540" s="116"/>
      <c r="C540" s="95"/>
      <c r="D540" s="567"/>
      <c r="E540" s="567"/>
      <c r="F540" s="108"/>
      <c r="G540" s="108"/>
      <c r="H540" s="95"/>
      <c r="I540" s="108"/>
      <c r="J540" s="122"/>
      <c r="K540" s="189">
        <v>1036</v>
      </c>
      <c r="L540" s="355" t="s">
        <v>7111</v>
      </c>
      <c r="M540" s="911">
        <v>1749630.8654</v>
      </c>
      <c r="N540" s="911">
        <v>5438327.4757000003</v>
      </c>
      <c r="O540" s="126" t="s">
        <v>7933</v>
      </c>
      <c r="P540" s="125" t="s">
        <v>4020</v>
      </c>
      <c r="Q540" s="355" t="s">
        <v>7934</v>
      </c>
      <c r="R540" s="134" t="s">
        <v>85</v>
      </c>
      <c r="S540" s="22" t="s">
        <v>47</v>
      </c>
      <c r="T540" s="337"/>
      <c r="AD540" s="3" t="s">
        <v>7483</v>
      </c>
      <c r="AE540" s="3" t="s">
        <v>1634</v>
      </c>
      <c r="AF540" s="3" t="s">
        <v>1380</v>
      </c>
      <c r="AG540" s="747">
        <v>44214</v>
      </c>
      <c r="AI540" s="747">
        <v>44349</v>
      </c>
      <c r="AJ540" s="1107" t="s">
        <v>37</v>
      </c>
    </row>
    <row r="541" spans="1:36" ht="26.25" x14ac:dyDescent="0.25">
      <c r="A541" s="339"/>
      <c r="B541" s="116"/>
      <c r="C541" s="95"/>
      <c r="D541" s="567"/>
      <c r="E541" s="567"/>
      <c r="F541" s="108"/>
      <c r="G541" s="108"/>
      <c r="H541" s="95"/>
      <c r="I541" s="108"/>
      <c r="J541" s="122"/>
      <c r="K541" s="191"/>
      <c r="L541" s="359"/>
      <c r="M541" s="913"/>
      <c r="N541" s="913"/>
      <c r="O541" s="95"/>
      <c r="P541" s="95"/>
      <c r="Q541" s="359"/>
      <c r="R541" s="98"/>
      <c r="S541" s="22" t="s">
        <v>91</v>
      </c>
      <c r="T541" s="337"/>
      <c r="AD541" s="3" t="s">
        <v>7484</v>
      </c>
      <c r="AE541" s="3" t="s">
        <v>1634</v>
      </c>
      <c r="AF541" s="3" t="s">
        <v>1380</v>
      </c>
      <c r="AG541" s="747">
        <v>44214</v>
      </c>
      <c r="AI541" s="747">
        <v>44349</v>
      </c>
      <c r="AJ541" s="1107" t="s">
        <v>37</v>
      </c>
    </row>
    <row r="542" spans="1:36" ht="90" x14ac:dyDescent="0.25">
      <c r="A542" s="339"/>
      <c r="B542" s="116"/>
      <c r="C542" s="95"/>
      <c r="D542" s="567"/>
      <c r="E542" s="567"/>
      <c r="F542" s="108"/>
      <c r="G542" s="108"/>
      <c r="H542" s="95"/>
      <c r="I542" s="108"/>
      <c r="J542" s="122"/>
      <c r="K542" s="191"/>
      <c r="L542" s="359"/>
      <c r="M542" s="913"/>
      <c r="N542" s="913"/>
      <c r="O542" s="95"/>
      <c r="P542" s="95"/>
      <c r="Q542" s="359"/>
      <c r="R542" s="98"/>
      <c r="S542" s="22" t="s">
        <v>92</v>
      </c>
      <c r="T542" s="304"/>
      <c r="AD542" s="3" t="s">
        <v>7485</v>
      </c>
      <c r="AE542" s="3" t="s">
        <v>1634</v>
      </c>
      <c r="AF542" s="3" t="s">
        <v>1380</v>
      </c>
      <c r="AG542" s="747">
        <v>44214</v>
      </c>
      <c r="AI542" s="747">
        <v>44349</v>
      </c>
      <c r="AJ542" s="1107" t="s">
        <v>37</v>
      </c>
    </row>
    <row r="543" spans="1:36" ht="103.5" thickBot="1" x14ac:dyDescent="0.3">
      <c r="A543" s="339"/>
      <c r="B543" s="116"/>
      <c r="C543" s="95"/>
      <c r="D543" s="567"/>
      <c r="E543" s="567"/>
      <c r="F543" s="108"/>
      <c r="G543" s="108"/>
      <c r="H543" s="95"/>
      <c r="I543" s="108"/>
      <c r="J543" s="122"/>
      <c r="K543" s="190"/>
      <c r="L543" s="357"/>
      <c r="M543" s="912"/>
      <c r="N543" s="912"/>
      <c r="O543" s="96"/>
      <c r="P543" s="96"/>
      <c r="Q543" s="357"/>
      <c r="R543" s="100"/>
      <c r="S543" s="655" t="s">
        <v>99</v>
      </c>
      <c r="T543" s="335" t="s">
        <v>7487</v>
      </c>
      <c r="U543" s="25"/>
      <c r="V543" s="25"/>
      <c r="W543" s="25"/>
      <c r="X543" s="25"/>
      <c r="Y543" s="25"/>
      <c r="Z543" s="25"/>
      <c r="AA543" s="25" t="s">
        <v>85</v>
      </c>
      <c r="AB543" s="25" t="s">
        <v>85</v>
      </c>
      <c r="AC543" s="25">
        <v>3</v>
      </c>
      <c r="AD543" s="52" t="s">
        <v>7486</v>
      </c>
      <c r="AE543" s="52" t="s">
        <v>1634</v>
      </c>
      <c r="AF543" s="52" t="s">
        <v>1380</v>
      </c>
      <c r="AG543" s="745">
        <v>44214</v>
      </c>
      <c r="AH543" s="52"/>
      <c r="AI543" s="747">
        <v>44349</v>
      </c>
      <c r="AJ543" s="653" t="s">
        <v>37</v>
      </c>
    </row>
    <row r="544" spans="1:36" ht="78" thickBot="1" x14ac:dyDescent="0.3">
      <c r="A544" s="339"/>
      <c r="B544" s="116"/>
      <c r="C544" s="95"/>
      <c r="D544" s="567"/>
      <c r="E544" s="567"/>
      <c r="F544" s="108"/>
      <c r="G544" s="108"/>
      <c r="H544" s="95"/>
      <c r="I544" s="108"/>
      <c r="J544" s="122"/>
      <c r="K544" s="190">
        <v>1043</v>
      </c>
      <c r="L544" s="357" t="s">
        <v>7112</v>
      </c>
      <c r="M544" s="912">
        <v>1753387.2596</v>
      </c>
      <c r="N544" s="912">
        <v>5443951.1063000001</v>
      </c>
      <c r="O544" s="96" t="s">
        <v>41</v>
      </c>
      <c r="P544" s="96">
        <v>1</v>
      </c>
      <c r="Q544" s="357" t="s">
        <v>2156</v>
      </c>
      <c r="R544" s="127" t="s">
        <v>2156</v>
      </c>
      <c r="S544" s="734" t="s">
        <v>47</v>
      </c>
      <c r="T544" s="329" t="s">
        <v>7489</v>
      </c>
      <c r="U544" s="86"/>
      <c r="V544" s="86">
        <v>0</v>
      </c>
      <c r="W544" s="86">
        <v>437</v>
      </c>
      <c r="X544" s="86"/>
      <c r="Y544" s="86"/>
      <c r="Z544" s="86"/>
      <c r="AA544" s="86" t="s">
        <v>85</v>
      </c>
      <c r="AB544" s="86" t="s">
        <v>16</v>
      </c>
      <c r="AC544" s="86">
        <v>3</v>
      </c>
      <c r="AD544" s="94" t="s">
        <v>7490</v>
      </c>
      <c r="AE544" s="92" t="s">
        <v>7113</v>
      </c>
      <c r="AF544" s="92" t="s">
        <v>1380</v>
      </c>
      <c r="AG544" s="743">
        <v>44294</v>
      </c>
      <c r="AH544" s="92"/>
      <c r="AI544" s="743">
        <v>44349</v>
      </c>
      <c r="AJ544" s="1108" t="s">
        <v>37</v>
      </c>
    </row>
    <row r="545" spans="1:36" ht="52.5" thickBot="1" x14ac:dyDescent="0.3">
      <c r="A545" s="336"/>
      <c r="B545" s="196"/>
      <c r="C545" s="96"/>
      <c r="D545" s="566"/>
      <c r="E545" s="566"/>
      <c r="F545" s="107"/>
      <c r="G545" s="107"/>
      <c r="H545" s="96"/>
      <c r="I545" s="107"/>
      <c r="J545" s="123"/>
      <c r="K545" s="89" t="s">
        <v>2156</v>
      </c>
      <c r="L545" s="396" t="s">
        <v>7114</v>
      </c>
      <c r="M545" s="265"/>
      <c r="N545" s="265"/>
      <c r="O545" s="84" t="s">
        <v>41</v>
      </c>
      <c r="P545" s="84">
        <v>1</v>
      </c>
      <c r="Q545" s="396" t="s">
        <v>2156</v>
      </c>
      <c r="R545" s="90" t="s">
        <v>2156</v>
      </c>
      <c r="S545" s="683" t="s">
        <v>47</v>
      </c>
      <c r="T545" s="329" t="s">
        <v>7115</v>
      </c>
      <c r="U545" s="86"/>
      <c r="V545" s="86">
        <v>910</v>
      </c>
      <c r="W545" s="86">
        <v>1260</v>
      </c>
      <c r="X545" s="86"/>
      <c r="Y545" s="86"/>
      <c r="Z545" s="86"/>
      <c r="AA545" s="86"/>
      <c r="AB545" s="86"/>
      <c r="AC545" s="86"/>
      <c r="AD545" s="92" t="s">
        <v>7116</v>
      </c>
      <c r="AE545" s="92" t="s">
        <v>6954</v>
      </c>
      <c r="AF545" s="92" t="s">
        <v>1380</v>
      </c>
      <c r="AG545" s="743">
        <v>44214</v>
      </c>
      <c r="AH545" s="92"/>
      <c r="AI545" s="743">
        <v>44214</v>
      </c>
      <c r="AJ545" s="1133" t="s">
        <v>37</v>
      </c>
    </row>
    <row r="546" spans="1:36" ht="39" x14ac:dyDescent="0.25">
      <c r="A546" s="488" t="s">
        <v>1247</v>
      </c>
      <c r="B546" s="131" t="s">
        <v>4990</v>
      </c>
      <c r="C546" s="75">
        <v>697</v>
      </c>
      <c r="D546" s="568" t="s">
        <v>52</v>
      </c>
      <c r="E546" s="568"/>
      <c r="F546" s="118"/>
      <c r="G546" s="118"/>
      <c r="H546" s="75"/>
      <c r="I546" s="118"/>
      <c r="J546" s="121"/>
      <c r="K546" s="187">
        <v>4000</v>
      </c>
      <c r="L546" s="73" t="s">
        <v>6359</v>
      </c>
      <c r="M546" s="914">
        <v>1365535.9294</v>
      </c>
      <c r="N546" s="914">
        <v>5114655.0327000003</v>
      </c>
      <c r="O546" s="72" t="s">
        <v>41</v>
      </c>
      <c r="P546" s="72">
        <v>3</v>
      </c>
      <c r="Q546" s="73" t="s">
        <v>2156</v>
      </c>
      <c r="R546" s="74" t="s">
        <v>2156</v>
      </c>
      <c r="S546" s="649" t="s">
        <v>47</v>
      </c>
      <c r="T546" s="340" t="s">
        <v>6360</v>
      </c>
      <c r="U546" s="31"/>
      <c r="V546" s="31">
        <v>3924</v>
      </c>
      <c r="W546" s="31">
        <v>4407</v>
      </c>
      <c r="X546" s="31"/>
      <c r="Y546" s="31">
        <v>2851</v>
      </c>
      <c r="Z546" s="31">
        <v>3324</v>
      </c>
      <c r="AA546" s="31" t="s">
        <v>16</v>
      </c>
      <c r="AB546" s="31" t="s">
        <v>16</v>
      </c>
      <c r="AC546" s="31">
        <v>2</v>
      </c>
      <c r="AD546" s="40" t="s">
        <v>6361</v>
      </c>
      <c r="AE546" s="40" t="s">
        <v>6362</v>
      </c>
      <c r="AF546" s="40" t="s">
        <v>37</v>
      </c>
      <c r="AG546" s="744">
        <v>44229</v>
      </c>
      <c r="AH546" s="40"/>
      <c r="AI546" s="744">
        <v>44326</v>
      </c>
      <c r="AJ546" s="652" t="s">
        <v>37</v>
      </c>
    </row>
    <row r="547" spans="1:36" ht="39" x14ac:dyDescent="0.25">
      <c r="A547" s="488"/>
      <c r="B547" s="486"/>
      <c r="C547" s="407"/>
      <c r="D547" s="572"/>
      <c r="E547" s="572"/>
      <c r="F547" s="541"/>
      <c r="G547" s="541"/>
      <c r="H547" s="407"/>
      <c r="I547" s="541"/>
      <c r="J547" s="121"/>
      <c r="K547" s="188"/>
      <c r="L547" s="547"/>
      <c r="M547" s="926"/>
      <c r="N547" s="926"/>
      <c r="O547" s="407"/>
      <c r="P547" s="407"/>
      <c r="Q547" s="547"/>
      <c r="R547" s="77"/>
      <c r="S547" s="650" t="s">
        <v>91</v>
      </c>
      <c r="T547" s="337" t="s">
        <v>6363</v>
      </c>
      <c r="V547" s="2">
        <v>7437</v>
      </c>
      <c r="W547" s="2">
        <v>7780</v>
      </c>
      <c r="Y547" s="2">
        <v>5737</v>
      </c>
      <c r="Z547" s="2">
        <v>6183</v>
      </c>
      <c r="AA547" s="2" t="s">
        <v>16</v>
      </c>
      <c r="AB547" s="2" t="s">
        <v>10</v>
      </c>
      <c r="AC547" s="2">
        <v>2</v>
      </c>
      <c r="AD547" s="3" t="s">
        <v>6361</v>
      </c>
      <c r="AE547" s="3" t="s">
        <v>6362</v>
      </c>
      <c r="AF547" s="3" t="s">
        <v>37</v>
      </c>
      <c r="AG547" s="747">
        <v>44229</v>
      </c>
      <c r="AI547" s="747">
        <v>44326</v>
      </c>
      <c r="AJ547" s="1107" t="s">
        <v>37</v>
      </c>
    </row>
    <row r="548" spans="1:36" ht="65.25" thickBot="1" x14ac:dyDescent="0.3">
      <c r="A548" s="489"/>
      <c r="B548" s="133"/>
      <c r="C548" s="78"/>
      <c r="D548" s="569"/>
      <c r="E548" s="569"/>
      <c r="F548" s="119"/>
      <c r="G548" s="119"/>
      <c r="H548" s="78"/>
      <c r="I548" s="119"/>
      <c r="J548" s="429"/>
      <c r="K548" s="192"/>
      <c r="L548" s="79"/>
      <c r="M548" s="916"/>
      <c r="N548" s="916"/>
      <c r="O548" s="78"/>
      <c r="P548" s="78"/>
      <c r="Q548" s="79"/>
      <c r="R548" s="80"/>
      <c r="S548" s="651" t="s">
        <v>92</v>
      </c>
      <c r="T548" s="335" t="s">
        <v>6364</v>
      </c>
      <c r="U548" s="25"/>
      <c r="V548" s="25"/>
      <c r="W548" s="25"/>
      <c r="X548" s="25"/>
      <c r="Y548" s="25">
        <v>8568</v>
      </c>
      <c r="Z548" s="25">
        <v>9097</v>
      </c>
      <c r="AA548" s="25" t="s">
        <v>85</v>
      </c>
      <c r="AB548" s="25" t="s">
        <v>85</v>
      </c>
      <c r="AC548" s="25">
        <v>3</v>
      </c>
      <c r="AD548" s="52" t="s">
        <v>6365</v>
      </c>
      <c r="AE548" s="52" t="s">
        <v>6362</v>
      </c>
      <c r="AF548" s="52" t="s">
        <v>37</v>
      </c>
      <c r="AG548" s="745">
        <v>44229</v>
      </c>
      <c r="AH548" s="52"/>
      <c r="AI548" s="745">
        <v>44326</v>
      </c>
      <c r="AJ548" s="653" t="s">
        <v>37</v>
      </c>
    </row>
    <row r="549" spans="1:36" ht="51.75" x14ac:dyDescent="0.25">
      <c r="A549" s="341" t="s">
        <v>1247</v>
      </c>
      <c r="B549" s="181" t="s">
        <v>5500</v>
      </c>
      <c r="C549" s="125">
        <v>707</v>
      </c>
      <c r="D549" s="585" t="s">
        <v>52</v>
      </c>
      <c r="E549" s="585"/>
      <c r="F549" s="126"/>
      <c r="G549" s="126"/>
      <c r="H549" s="125"/>
      <c r="I549" s="126"/>
      <c r="J549" s="247"/>
      <c r="K549" s="189">
        <v>4001</v>
      </c>
      <c r="L549" s="355" t="s">
        <v>6366</v>
      </c>
      <c r="M549" s="911">
        <v>1364592.16518</v>
      </c>
      <c r="N549" s="911">
        <v>5096451.6615279997</v>
      </c>
      <c r="O549" s="125" t="s">
        <v>6367</v>
      </c>
      <c r="P549" s="145" t="s">
        <v>1316</v>
      </c>
      <c r="Q549" s="355" t="s">
        <v>6368</v>
      </c>
      <c r="R549" s="134" t="s">
        <v>85</v>
      </c>
      <c r="S549" s="649" t="s">
        <v>47</v>
      </c>
      <c r="T549" s="340" t="s">
        <v>6369</v>
      </c>
      <c r="U549" s="31"/>
      <c r="V549" s="31">
        <v>2300</v>
      </c>
      <c r="W549" s="31">
        <v>4500</v>
      </c>
      <c r="X549" s="31"/>
      <c r="Y549" s="31"/>
      <c r="Z549" s="31"/>
      <c r="AA549" s="31" t="s">
        <v>85</v>
      </c>
      <c r="AB549" s="31" t="s">
        <v>10</v>
      </c>
      <c r="AC549" s="31">
        <v>3</v>
      </c>
      <c r="AD549" s="40" t="s">
        <v>6370</v>
      </c>
      <c r="AE549" s="40" t="s">
        <v>6371</v>
      </c>
      <c r="AF549" s="40" t="s">
        <v>6372</v>
      </c>
      <c r="AG549" s="744">
        <v>44230</v>
      </c>
      <c r="AH549" s="40"/>
      <c r="AI549" s="744">
        <v>44326</v>
      </c>
      <c r="AJ549" s="652" t="s">
        <v>37</v>
      </c>
    </row>
    <row r="550" spans="1:36" ht="39.75" thickBot="1" x14ac:dyDescent="0.3">
      <c r="A550" s="336"/>
      <c r="B550" s="196"/>
      <c r="C550" s="96"/>
      <c r="D550" s="566"/>
      <c r="E550" s="566"/>
      <c r="F550" s="107"/>
      <c r="G550" s="107"/>
      <c r="H550" s="96"/>
      <c r="I550" s="107"/>
      <c r="J550" s="123"/>
      <c r="K550" s="190"/>
      <c r="L550" s="357"/>
      <c r="M550" s="912"/>
      <c r="N550" s="912"/>
      <c r="O550" s="96"/>
      <c r="P550" s="96"/>
      <c r="Q550" s="357"/>
      <c r="R550" s="100"/>
      <c r="S550" s="651" t="s">
        <v>91</v>
      </c>
      <c r="T550" s="335" t="s">
        <v>6373</v>
      </c>
      <c r="U550" s="25"/>
      <c r="V550" s="25"/>
      <c r="W550" s="25"/>
      <c r="X550" s="25"/>
      <c r="Y550" s="25">
        <v>4100</v>
      </c>
      <c r="Z550" s="25">
        <v>8400</v>
      </c>
      <c r="AA550" s="25" t="s">
        <v>85</v>
      </c>
      <c r="AB550" s="25" t="s">
        <v>16</v>
      </c>
      <c r="AC550" s="25">
        <v>3</v>
      </c>
      <c r="AD550" s="52" t="s">
        <v>6374</v>
      </c>
      <c r="AE550" s="52" t="s">
        <v>6371</v>
      </c>
      <c r="AF550" s="52" t="s">
        <v>6372</v>
      </c>
      <c r="AG550" s="745">
        <v>44230</v>
      </c>
      <c r="AH550" s="52"/>
      <c r="AI550" s="745">
        <v>44326</v>
      </c>
      <c r="AJ550" s="653" t="s">
        <v>37</v>
      </c>
    </row>
    <row r="551" spans="1:36" ht="51.75" x14ac:dyDescent="0.25">
      <c r="A551" s="487" t="s">
        <v>1174</v>
      </c>
      <c r="B551" s="128" t="s">
        <v>1174</v>
      </c>
      <c r="C551" s="72">
        <v>207</v>
      </c>
      <c r="D551" s="586" t="s">
        <v>57</v>
      </c>
      <c r="E551" s="586"/>
      <c r="F551" s="129"/>
      <c r="G551" s="129"/>
      <c r="H551" s="72"/>
      <c r="I551" s="129"/>
      <c r="J551" s="381"/>
      <c r="K551" s="187">
        <v>4014</v>
      </c>
      <c r="L551" s="73" t="s">
        <v>6418</v>
      </c>
      <c r="M551" s="914">
        <v>1894131.0335870001</v>
      </c>
      <c r="N551" s="914">
        <v>5757413.7132169995</v>
      </c>
      <c r="O551" s="72" t="s">
        <v>41</v>
      </c>
      <c r="P551" s="72">
        <v>3</v>
      </c>
      <c r="Q551" s="73" t="s">
        <v>2156</v>
      </c>
      <c r="R551" s="74" t="s">
        <v>2156</v>
      </c>
      <c r="S551" s="656" t="s">
        <v>47</v>
      </c>
      <c r="T551" s="340" t="s">
        <v>6419</v>
      </c>
      <c r="U551" s="31">
        <v>1770</v>
      </c>
      <c r="V551" s="31"/>
      <c r="W551" s="31"/>
      <c r="X551" s="31">
        <v>700</v>
      </c>
      <c r="Y551" s="31"/>
      <c r="Z551" s="31"/>
      <c r="AA551" s="31" t="s">
        <v>85</v>
      </c>
      <c r="AB551" s="31" t="s">
        <v>10</v>
      </c>
      <c r="AC551" s="31">
        <v>3</v>
      </c>
      <c r="AD551" s="40" t="s">
        <v>6420</v>
      </c>
      <c r="AE551" s="40" t="s">
        <v>1193</v>
      </c>
      <c r="AF551" s="40" t="s">
        <v>6372</v>
      </c>
      <c r="AG551" s="744">
        <v>44236</v>
      </c>
      <c r="AH551" s="40"/>
      <c r="AI551" s="31"/>
      <c r="AJ551" s="652"/>
    </row>
    <row r="552" spans="1:36" ht="51.75" x14ac:dyDescent="0.25">
      <c r="A552" s="488"/>
      <c r="B552" s="486"/>
      <c r="C552" s="407"/>
      <c r="D552" s="572"/>
      <c r="E552" s="572"/>
      <c r="F552" s="541"/>
      <c r="G552" s="541"/>
      <c r="H552" s="407"/>
      <c r="I552" s="541"/>
      <c r="J552" s="121"/>
      <c r="K552" s="188"/>
      <c r="L552" s="547"/>
      <c r="M552" s="926"/>
      <c r="N552" s="926"/>
      <c r="O552" s="407"/>
      <c r="P552" s="407"/>
      <c r="Q552" s="547"/>
      <c r="R552" s="77"/>
      <c r="S552" s="658" t="s">
        <v>91</v>
      </c>
      <c r="T552" s="337" t="s">
        <v>6421</v>
      </c>
      <c r="U552" s="2">
        <v>13800</v>
      </c>
      <c r="X552" s="2">
        <v>9500</v>
      </c>
      <c r="AA552" s="2" t="s">
        <v>85</v>
      </c>
      <c r="AB552" s="2" t="s">
        <v>10</v>
      </c>
      <c r="AC552" s="2">
        <v>3</v>
      </c>
      <c r="AD552" s="3" t="s">
        <v>6422</v>
      </c>
      <c r="AE552" s="3" t="s">
        <v>1193</v>
      </c>
      <c r="AF552" s="3" t="s">
        <v>6372</v>
      </c>
      <c r="AG552" s="747">
        <v>44236</v>
      </c>
      <c r="AJ552" s="1107"/>
    </row>
    <row r="553" spans="1:36" ht="39" x14ac:dyDescent="0.25">
      <c r="A553" s="488"/>
      <c r="B553" s="486"/>
      <c r="C553" s="407"/>
      <c r="D553" s="572"/>
      <c r="E553" s="572"/>
      <c r="F553" s="541"/>
      <c r="G553" s="541"/>
      <c r="H553" s="407"/>
      <c r="I553" s="541"/>
      <c r="J553" s="121"/>
      <c r="K553" s="795"/>
      <c r="L553" s="797"/>
      <c r="M553" s="982"/>
      <c r="N553" s="982"/>
      <c r="O553" s="796"/>
      <c r="P553" s="796"/>
      <c r="Q553" s="797"/>
      <c r="R553" s="798"/>
      <c r="S553" s="659" t="s">
        <v>92</v>
      </c>
      <c r="T553" s="660" t="s">
        <v>6423</v>
      </c>
      <c r="U553" s="661">
        <v>13800</v>
      </c>
      <c r="V553" s="661"/>
      <c r="W553" s="661"/>
      <c r="X553" s="661">
        <v>13800</v>
      </c>
      <c r="Y553" s="661"/>
      <c r="Z553" s="661"/>
      <c r="AA553" s="661" t="s">
        <v>85</v>
      </c>
      <c r="AB553" s="661" t="s">
        <v>10</v>
      </c>
      <c r="AC553" s="661">
        <v>3</v>
      </c>
      <c r="AD553" s="662" t="s">
        <v>6424</v>
      </c>
      <c r="AE553" s="662" t="s">
        <v>1193</v>
      </c>
      <c r="AF553" s="662" t="s">
        <v>6372</v>
      </c>
      <c r="AG553" s="748">
        <v>44236</v>
      </c>
      <c r="AH553" s="662"/>
      <c r="AJ553" s="1107"/>
    </row>
    <row r="554" spans="1:36" ht="64.5" x14ac:dyDescent="0.25">
      <c r="A554" s="488"/>
      <c r="B554" s="486"/>
      <c r="C554" s="407"/>
      <c r="D554" s="572"/>
      <c r="E554" s="572"/>
      <c r="F554" s="541"/>
      <c r="G554" s="541"/>
      <c r="H554" s="407"/>
      <c r="I554" s="541"/>
      <c r="J554" s="121"/>
      <c r="K554" s="188">
        <v>4015</v>
      </c>
      <c r="L554" s="547" t="s">
        <v>6425</v>
      </c>
      <c r="M554" s="926">
        <v>1894358.2147639999</v>
      </c>
      <c r="N554" s="926">
        <v>5756107.5093949996</v>
      </c>
      <c r="O554" s="407" t="s">
        <v>41</v>
      </c>
      <c r="P554" s="407">
        <v>4</v>
      </c>
      <c r="Q554" s="547" t="s">
        <v>2156</v>
      </c>
      <c r="R554" s="77" t="s">
        <v>2156</v>
      </c>
      <c r="S554" s="658" t="s">
        <v>47</v>
      </c>
      <c r="T554" s="337" t="s">
        <v>6426</v>
      </c>
      <c r="U554" s="2">
        <v>700</v>
      </c>
      <c r="X554" s="2">
        <v>120</v>
      </c>
      <c r="AA554" s="2" t="s">
        <v>85</v>
      </c>
      <c r="AB554" s="2" t="s">
        <v>16</v>
      </c>
      <c r="AC554" s="2">
        <v>3</v>
      </c>
      <c r="AD554" s="3" t="s">
        <v>6427</v>
      </c>
      <c r="AE554" s="3" t="s">
        <v>1193</v>
      </c>
      <c r="AF554" s="3" t="s">
        <v>6372</v>
      </c>
      <c r="AG554" s="747">
        <v>44236</v>
      </c>
      <c r="AJ554" s="1107"/>
    </row>
    <row r="555" spans="1:36" ht="64.5" x14ac:dyDescent="0.25">
      <c r="A555" s="488"/>
      <c r="B555" s="486"/>
      <c r="C555" s="407"/>
      <c r="D555" s="572"/>
      <c r="E555" s="572"/>
      <c r="F555" s="541"/>
      <c r="G555" s="541"/>
      <c r="H555" s="407"/>
      <c r="I555" s="541"/>
      <c r="J555" s="121"/>
      <c r="K555" s="188"/>
      <c r="L555" s="547"/>
      <c r="M555" s="926"/>
      <c r="N555" s="926"/>
      <c r="O555" s="407"/>
      <c r="P555" s="407"/>
      <c r="Q555" s="547"/>
      <c r="R555" s="77"/>
      <c r="S555" s="658" t="s">
        <v>91</v>
      </c>
      <c r="T555" s="337" t="s">
        <v>6428</v>
      </c>
      <c r="U555" s="2">
        <v>8100</v>
      </c>
      <c r="X555" s="2">
        <v>1770</v>
      </c>
      <c r="AA555" s="2" t="s">
        <v>85</v>
      </c>
      <c r="AB555" s="2" t="s">
        <v>16</v>
      </c>
      <c r="AC555" s="2">
        <v>3</v>
      </c>
      <c r="AD555" s="3" t="s">
        <v>6429</v>
      </c>
      <c r="AE555" s="3" t="s">
        <v>1193</v>
      </c>
      <c r="AF555" s="3" t="s">
        <v>6372</v>
      </c>
      <c r="AG555" s="747">
        <v>44236</v>
      </c>
      <c r="AJ555" s="1107"/>
    </row>
    <row r="556" spans="1:36" ht="64.5" x14ac:dyDescent="0.25">
      <c r="A556" s="488"/>
      <c r="B556" s="486"/>
      <c r="C556" s="407"/>
      <c r="D556" s="572"/>
      <c r="E556" s="572"/>
      <c r="F556" s="541"/>
      <c r="G556" s="541"/>
      <c r="H556" s="407"/>
      <c r="I556" s="541"/>
      <c r="J556" s="121"/>
      <c r="K556" s="188"/>
      <c r="L556" s="547"/>
      <c r="M556" s="926"/>
      <c r="N556" s="926"/>
      <c r="O556" s="407"/>
      <c r="P556" s="407"/>
      <c r="Q556" s="547"/>
      <c r="R556" s="77"/>
      <c r="S556" s="658" t="s">
        <v>92</v>
      </c>
      <c r="T556" s="337" t="s">
        <v>6430</v>
      </c>
      <c r="U556" s="2">
        <v>9500</v>
      </c>
      <c r="X556" s="2">
        <v>8100</v>
      </c>
      <c r="AA556" s="2" t="s">
        <v>85</v>
      </c>
      <c r="AB556" s="2" t="s">
        <v>16</v>
      </c>
      <c r="AC556" s="2">
        <v>3</v>
      </c>
      <c r="AD556" s="3" t="s">
        <v>6431</v>
      </c>
      <c r="AE556" s="3" t="s">
        <v>1193</v>
      </c>
      <c r="AF556" s="3" t="s">
        <v>6372</v>
      </c>
      <c r="AG556" s="747">
        <v>44236</v>
      </c>
      <c r="AJ556" s="1107"/>
    </row>
    <row r="557" spans="1:36" ht="39" x14ac:dyDescent="0.25">
      <c r="A557" s="488"/>
      <c r="B557" s="486"/>
      <c r="C557" s="407"/>
      <c r="D557" s="572"/>
      <c r="E557" s="572"/>
      <c r="F557" s="541"/>
      <c r="G557" s="541"/>
      <c r="H557" s="407"/>
      <c r="I557" s="541"/>
      <c r="J557" s="121"/>
      <c r="K557" s="795"/>
      <c r="L557" s="797"/>
      <c r="M557" s="982"/>
      <c r="N557" s="982"/>
      <c r="O557" s="796"/>
      <c r="P557" s="796"/>
      <c r="Q557" s="797"/>
      <c r="R557" s="798"/>
      <c r="S557" s="659" t="s">
        <v>99</v>
      </c>
      <c r="T557" s="660" t="s">
        <v>6423</v>
      </c>
      <c r="U557" s="661">
        <v>13800</v>
      </c>
      <c r="V557" s="661"/>
      <c r="W557" s="661"/>
      <c r="X557" s="661">
        <v>13800</v>
      </c>
      <c r="Y557" s="661"/>
      <c r="Z557" s="661"/>
      <c r="AA557" s="661" t="s">
        <v>85</v>
      </c>
      <c r="AB557" s="661" t="s">
        <v>85</v>
      </c>
      <c r="AC557" s="661">
        <v>3</v>
      </c>
      <c r="AD557" s="662" t="s">
        <v>6424</v>
      </c>
      <c r="AE557" s="662" t="s">
        <v>1193</v>
      </c>
      <c r="AF557" s="662" t="s">
        <v>6372</v>
      </c>
      <c r="AG557" s="748">
        <v>44236</v>
      </c>
      <c r="AH557" s="662"/>
      <c r="AI557" s="661"/>
      <c r="AJ557" s="1134"/>
    </row>
    <row r="558" spans="1:36" ht="128.25" x14ac:dyDescent="0.25">
      <c r="A558" s="488"/>
      <c r="B558" s="486"/>
      <c r="C558" s="407"/>
      <c r="D558" s="572"/>
      <c r="E558" s="572"/>
      <c r="F558" s="541"/>
      <c r="G558" s="541"/>
      <c r="H558" s="407"/>
      <c r="I558" s="541"/>
      <c r="J558" s="121"/>
      <c r="K558" s="188">
        <v>4016</v>
      </c>
      <c r="L558" s="547" t="s">
        <v>6432</v>
      </c>
      <c r="M558" s="926">
        <v>1892305.3524799999</v>
      </c>
      <c r="N558" s="926">
        <v>5754601.9977620002</v>
      </c>
      <c r="O558" s="407" t="s">
        <v>41</v>
      </c>
      <c r="P558" s="407">
        <v>4</v>
      </c>
      <c r="Q558" s="547" t="s">
        <v>2156</v>
      </c>
      <c r="R558" s="77" t="s">
        <v>2156</v>
      </c>
      <c r="S558" s="658" t="s">
        <v>47</v>
      </c>
      <c r="T558" s="337" t="s">
        <v>6433</v>
      </c>
      <c r="U558" s="2">
        <v>700</v>
      </c>
      <c r="X558" s="2">
        <v>400</v>
      </c>
      <c r="Y558" s="2">
        <v>306</v>
      </c>
      <c r="Z558" s="2">
        <v>534</v>
      </c>
      <c r="AA558" s="2" t="s">
        <v>16</v>
      </c>
      <c r="AB558" s="2" t="s">
        <v>10</v>
      </c>
      <c r="AC558" s="2">
        <v>2</v>
      </c>
      <c r="AD558" s="3" t="s">
        <v>7905</v>
      </c>
      <c r="AE558" s="3" t="s">
        <v>1193</v>
      </c>
      <c r="AF558" s="3" t="s">
        <v>6372</v>
      </c>
      <c r="AG558" s="747">
        <v>44236</v>
      </c>
      <c r="AJ558" s="1107"/>
    </row>
    <row r="559" spans="1:36" ht="64.5" x14ac:dyDescent="0.25">
      <c r="A559" s="488"/>
      <c r="B559" s="486"/>
      <c r="C559" s="407"/>
      <c r="D559" s="572"/>
      <c r="E559" s="572"/>
      <c r="F559" s="541"/>
      <c r="G559" s="541"/>
      <c r="H559" s="407"/>
      <c r="I559" s="541"/>
      <c r="J559" s="121"/>
      <c r="K559" s="188"/>
      <c r="L559" s="547"/>
      <c r="M559" s="926"/>
      <c r="N559" s="926"/>
      <c r="O559" s="407"/>
      <c r="P559" s="407"/>
      <c r="Q559" s="547"/>
      <c r="R559" s="77"/>
      <c r="S559" s="658" t="s">
        <v>91</v>
      </c>
      <c r="T559" s="337" t="s">
        <v>6430</v>
      </c>
      <c r="U559" s="2">
        <v>9500</v>
      </c>
      <c r="X559" s="2">
        <v>8100</v>
      </c>
      <c r="AA559" s="2" t="s">
        <v>85</v>
      </c>
      <c r="AB559" s="2" t="s">
        <v>10</v>
      </c>
      <c r="AC559" s="2">
        <v>3</v>
      </c>
      <c r="AD559" s="3" t="s">
        <v>6434</v>
      </c>
      <c r="AE559" s="3" t="s">
        <v>1193</v>
      </c>
      <c r="AF559" s="3" t="s">
        <v>6372</v>
      </c>
      <c r="AG559" s="747">
        <v>44236</v>
      </c>
      <c r="AJ559" s="1107"/>
    </row>
    <row r="560" spans="1:36" ht="39" x14ac:dyDescent="0.25">
      <c r="A560" s="488"/>
      <c r="B560" s="486"/>
      <c r="C560" s="407"/>
      <c r="D560" s="572"/>
      <c r="E560" s="572"/>
      <c r="F560" s="541"/>
      <c r="G560" s="541"/>
      <c r="H560" s="407"/>
      <c r="I560" s="541"/>
      <c r="J560" s="121"/>
      <c r="K560" s="188"/>
      <c r="L560" s="547"/>
      <c r="M560" s="926"/>
      <c r="N560" s="926"/>
      <c r="O560" s="407"/>
      <c r="P560" s="407"/>
      <c r="Q560" s="547"/>
      <c r="R560" s="77"/>
      <c r="S560" s="658" t="s">
        <v>92</v>
      </c>
      <c r="T560" s="337" t="s">
        <v>6423</v>
      </c>
      <c r="U560" s="2">
        <v>13800</v>
      </c>
      <c r="X560" s="2">
        <v>13800</v>
      </c>
      <c r="AA560" s="2" t="s">
        <v>85</v>
      </c>
      <c r="AB560" s="2" t="s">
        <v>10</v>
      </c>
      <c r="AC560" s="2">
        <v>3</v>
      </c>
      <c r="AD560" s="3" t="s">
        <v>6435</v>
      </c>
      <c r="AE560" s="3" t="s">
        <v>1193</v>
      </c>
      <c r="AF560" s="3" t="s">
        <v>6372</v>
      </c>
      <c r="AG560" s="747">
        <v>44236</v>
      </c>
      <c r="AJ560" s="1107"/>
    </row>
    <row r="561" spans="1:36" ht="51.75" x14ac:dyDescent="0.25">
      <c r="A561" s="488"/>
      <c r="B561" s="486"/>
      <c r="C561" s="407"/>
      <c r="D561" s="572"/>
      <c r="E561" s="572"/>
      <c r="F561" s="541"/>
      <c r="G561" s="541"/>
      <c r="H561" s="407"/>
      <c r="I561" s="541"/>
      <c r="J561" s="121"/>
      <c r="K561" s="795"/>
      <c r="L561" s="797"/>
      <c r="M561" s="982"/>
      <c r="N561" s="982"/>
      <c r="O561" s="796"/>
      <c r="P561" s="796"/>
      <c r="Q561" s="797"/>
      <c r="R561" s="798"/>
      <c r="S561" s="659" t="s">
        <v>99</v>
      </c>
      <c r="T561" s="660" t="s">
        <v>6423</v>
      </c>
      <c r="U561" s="661">
        <v>13800</v>
      </c>
      <c r="V561" s="661"/>
      <c r="W561" s="661"/>
      <c r="X561" s="661">
        <v>13800</v>
      </c>
      <c r="Y561" s="661"/>
      <c r="Z561" s="661"/>
      <c r="AA561" s="661" t="s">
        <v>85</v>
      </c>
      <c r="AB561" s="661" t="s">
        <v>10</v>
      </c>
      <c r="AC561" s="661">
        <v>3</v>
      </c>
      <c r="AD561" s="662" t="s">
        <v>6436</v>
      </c>
      <c r="AE561" s="662" t="s">
        <v>1193</v>
      </c>
      <c r="AF561" s="662" t="s">
        <v>6372</v>
      </c>
      <c r="AG561" s="748">
        <v>44236</v>
      </c>
      <c r="AH561" s="662"/>
      <c r="AI561" s="661"/>
      <c r="AJ561" s="1134"/>
    </row>
    <row r="562" spans="1:36" ht="90" x14ac:dyDescent="0.25">
      <c r="A562" s="488"/>
      <c r="B562" s="486"/>
      <c r="C562" s="407"/>
      <c r="D562" s="572"/>
      <c r="E562" s="572"/>
      <c r="F562" s="541"/>
      <c r="G562" s="541"/>
      <c r="H562" s="407"/>
      <c r="I562" s="541"/>
      <c r="J562" s="121"/>
      <c r="K562" s="188">
        <v>4017</v>
      </c>
      <c r="L562" s="547" t="s">
        <v>6437</v>
      </c>
      <c r="M562" s="926">
        <v>1892299.364355</v>
      </c>
      <c r="N562" s="926">
        <v>5755350.7273500003</v>
      </c>
      <c r="O562" s="407" t="s">
        <v>41</v>
      </c>
      <c r="P562" s="407">
        <v>3</v>
      </c>
      <c r="Q562" s="547" t="s">
        <v>2156</v>
      </c>
      <c r="R562" s="77" t="s">
        <v>2156</v>
      </c>
      <c r="S562" s="658" t="s">
        <v>47</v>
      </c>
      <c r="T562" s="337" t="s">
        <v>6438</v>
      </c>
      <c r="U562" s="2">
        <v>526</v>
      </c>
      <c r="X562" s="2">
        <v>313</v>
      </c>
      <c r="AA562" s="2" t="s">
        <v>85</v>
      </c>
      <c r="AB562" s="2" t="s">
        <v>10</v>
      </c>
      <c r="AC562" s="2">
        <v>3</v>
      </c>
      <c r="AD562" s="3" t="s">
        <v>6439</v>
      </c>
      <c r="AE562" s="3" t="s">
        <v>1193</v>
      </c>
      <c r="AF562" s="3" t="s">
        <v>6372</v>
      </c>
      <c r="AG562" s="747">
        <v>44236</v>
      </c>
      <c r="AJ562" s="1107"/>
    </row>
    <row r="563" spans="1:36" ht="39" x14ac:dyDescent="0.25">
      <c r="A563" s="488"/>
      <c r="B563" s="486"/>
      <c r="C563" s="407"/>
      <c r="D563" s="572"/>
      <c r="E563" s="572"/>
      <c r="F563" s="541"/>
      <c r="G563" s="541"/>
      <c r="H563" s="407"/>
      <c r="I563" s="541"/>
      <c r="J563" s="121"/>
      <c r="K563" s="188"/>
      <c r="L563" s="547"/>
      <c r="M563" s="926"/>
      <c r="N563" s="926"/>
      <c r="O563" s="407"/>
      <c r="P563" s="407"/>
      <c r="Q563" s="547"/>
      <c r="R563" s="77"/>
      <c r="S563" s="658" t="s">
        <v>91</v>
      </c>
      <c r="T563" s="337" t="s">
        <v>6440</v>
      </c>
      <c r="U563" s="2">
        <v>9500</v>
      </c>
      <c r="X563" s="2">
        <v>9500</v>
      </c>
      <c r="AA563" s="2" t="s">
        <v>85</v>
      </c>
      <c r="AB563" s="2" t="s">
        <v>10</v>
      </c>
      <c r="AC563" s="2">
        <v>3</v>
      </c>
      <c r="AD563" s="3" t="s">
        <v>6441</v>
      </c>
      <c r="AE563" s="3" t="s">
        <v>1193</v>
      </c>
      <c r="AF563" s="3" t="s">
        <v>6372</v>
      </c>
      <c r="AG563" s="747">
        <v>44236</v>
      </c>
      <c r="AJ563" s="1107"/>
    </row>
    <row r="564" spans="1:36" ht="64.5" x14ac:dyDescent="0.25">
      <c r="A564" s="488"/>
      <c r="B564" s="486"/>
      <c r="C564" s="407"/>
      <c r="D564" s="572"/>
      <c r="E564" s="572"/>
      <c r="F564" s="541"/>
      <c r="G564" s="541"/>
      <c r="H564" s="407"/>
      <c r="I564" s="541"/>
      <c r="J564" s="121"/>
      <c r="K564" s="795"/>
      <c r="L564" s="797"/>
      <c r="M564" s="982"/>
      <c r="N564" s="982"/>
      <c r="O564" s="796"/>
      <c r="P564" s="796"/>
      <c r="Q564" s="797"/>
      <c r="R564" s="798"/>
      <c r="S564" s="659" t="s">
        <v>92</v>
      </c>
      <c r="T564" s="660" t="s">
        <v>6421</v>
      </c>
      <c r="U564" s="661">
        <v>3800</v>
      </c>
      <c r="V564" s="661"/>
      <c r="W564" s="661"/>
      <c r="X564" s="661">
        <v>9500</v>
      </c>
      <c r="Y564" s="661"/>
      <c r="Z564" s="661"/>
      <c r="AA564" s="661" t="s">
        <v>85</v>
      </c>
      <c r="AB564" s="661" t="s">
        <v>10</v>
      </c>
      <c r="AC564" s="661">
        <v>3</v>
      </c>
      <c r="AD564" s="662" t="s">
        <v>6442</v>
      </c>
      <c r="AE564" s="662" t="s">
        <v>1193</v>
      </c>
      <c r="AF564" s="662" t="s">
        <v>6372</v>
      </c>
      <c r="AG564" s="748">
        <v>44236</v>
      </c>
      <c r="AH564" s="662"/>
      <c r="AI564" s="661"/>
      <c r="AJ564" s="1134"/>
    </row>
    <row r="565" spans="1:36" ht="64.5" x14ac:dyDescent="0.25">
      <c r="A565" s="488"/>
      <c r="B565" s="486"/>
      <c r="C565" s="407"/>
      <c r="D565" s="572"/>
      <c r="E565" s="572"/>
      <c r="F565" s="541"/>
      <c r="G565" s="541"/>
      <c r="H565" s="407"/>
      <c r="I565" s="541"/>
      <c r="J565" s="121"/>
      <c r="K565" s="188">
        <v>4018</v>
      </c>
      <c r="L565" s="547" t="s">
        <v>6443</v>
      </c>
      <c r="M565" s="926">
        <v>1892075.8076919999</v>
      </c>
      <c r="N565" s="926">
        <v>5755220.770668</v>
      </c>
      <c r="O565" s="407" t="s">
        <v>41</v>
      </c>
      <c r="P565" s="407">
        <v>2</v>
      </c>
      <c r="Q565" s="547" t="s">
        <v>2156</v>
      </c>
      <c r="R565" s="77" t="s">
        <v>2156</v>
      </c>
      <c r="S565" s="658" t="s">
        <v>47</v>
      </c>
      <c r="T565" s="337" t="s">
        <v>6444</v>
      </c>
      <c r="U565" s="2">
        <v>1770</v>
      </c>
      <c r="AA565" s="2" t="s">
        <v>85</v>
      </c>
      <c r="AB565" s="2" t="s">
        <v>10</v>
      </c>
      <c r="AC565" s="2">
        <v>3</v>
      </c>
      <c r="AD565" s="3" t="s">
        <v>6445</v>
      </c>
      <c r="AE565" s="3" t="s">
        <v>1193</v>
      </c>
      <c r="AF565" s="3" t="s">
        <v>6372</v>
      </c>
      <c r="AG565" s="747">
        <v>44236</v>
      </c>
      <c r="AJ565" s="1107"/>
    </row>
    <row r="566" spans="1:36" ht="39" x14ac:dyDescent="0.25">
      <c r="A566" s="488"/>
      <c r="B566" s="486"/>
      <c r="C566" s="407"/>
      <c r="D566" s="572"/>
      <c r="E566" s="572"/>
      <c r="F566" s="541"/>
      <c r="G566" s="541"/>
      <c r="H566" s="407"/>
      <c r="I566" s="541"/>
      <c r="J566" s="121"/>
      <c r="K566" s="795"/>
      <c r="L566" s="797"/>
      <c r="M566" s="982"/>
      <c r="N566" s="982"/>
      <c r="O566" s="796"/>
      <c r="P566" s="796"/>
      <c r="Q566" s="797"/>
      <c r="R566" s="798"/>
      <c r="S566" s="659" t="s">
        <v>91</v>
      </c>
      <c r="T566" s="660" t="s">
        <v>6440</v>
      </c>
      <c r="U566" s="661">
        <v>9500</v>
      </c>
      <c r="V566" s="661"/>
      <c r="W566" s="661"/>
      <c r="X566" s="661">
        <v>9500</v>
      </c>
      <c r="Y566" s="661"/>
      <c r="Z566" s="661"/>
      <c r="AA566" s="661" t="s">
        <v>85</v>
      </c>
      <c r="AB566" s="661" t="s">
        <v>10</v>
      </c>
      <c r="AC566" s="661">
        <v>3</v>
      </c>
      <c r="AD566" s="662" t="s">
        <v>6446</v>
      </c>
      <c r="AE566" s="662" t="s">
        <v>1193</v>
      </c>
      <c r="AF566" s="662" t="s">
        <v>6372</v>
      </c>
      <c r="AG566" s="748">
        <v>44236</v>
      </c>
      <c r="AH566" s="662"/>
      <c r="AI566" s="661"/>
      <c r="AJ566" s="1134"/>
    </row>
    <row r="567" spans="1:36" ht="90" x14ac:dyDescent="0.25">
      <c r="A567" s="488"/>
      <c r="B567" s="486"/>
      <c r="C567" s="407"/>
      <c r="D567" s="572"/>
      <c r="E567" s="572"/>
      <c r="F567" s="541"/>
      <c r="G567" s="541"/>
      <c r="H567" s="407"/>
      <c r="I567" s="541"/>
      <c r="J567" s="121"/>
      <c r="K567" s="188">
        <v>4019</v>
      </c>
      <c r="L567" s="547" t="s">
        <v>6447</v>
      </c>
      <c r="M567" s="926">
        <v>1892064.789542</v>
      </c>
      <c r="N567" s="926">
        <v>5755265.7215259997</v>
      </c>
      <c r="O567" s="407" t="s">
        <v>41</v>
      </c>
      <c r="P567" s="407">
        <v>3</v>
      </c>
      <c r="Q567" s="547" t="s">
        <v>2156</v>
      </c>
      <c r="R567" s="77" t="s">
        <v>2156</v>
      </c>
      <c r="S567" s="658" t="s">
        <v>47</v>
      </c>
      <c r="T567" s="337" t="s">
        <v>6438</v>
      </c>
      <c r="U567" s="2">
        <v>534</v>
      </c>
      <c r="X567" s="2">
        <v>306</v>
      </c>
      <c r="AA567" s="2" t="s">
        <v>16</v>
      </c>
      <c r="AB567" s="2" t="s">
        <v>10</v>
      </c>
      <c r="AC567" s="2">
        <v>2</v>
      </c>
      <c r="AD567" s="3" t="s">
        <v>6448</v>
      </c>
      <c r="AE567" s="3" t="s">
        <v>1193</v>
      </c>
      <c r="AF567" s="3" t="s">
        <v>6372</v>
      </c>
      <c r="AG567" s="747">
        <v>44236</v>
      </c>
      <c r="AJ567" s="1107"/>
    </row>
    <row r="568" spans="1:36" ht="64.5" x14ac:dyDescent="0.25">
      <c r="A568" s="488"/>
      <c r="B568" s="486"/>
      <c r="C568" s="407"/>
      <c r="D568" s="572"/>
      <c r="E568" s="572"/>
      <c r="F568" s="541"/>
      <c r="G568" s="541"/>
      <c r="H568" s="407"/>
      <c r="I568" s="541"/>
      <c r="J568" s="121"/>
      <c r="K568" s="188"/>
      <c r="L568" s="547"/>
      <c r="M568" s="926"/>
      <c r="N568" s="926"/>
      <c r="O568" s="407"/>
      <c r="P568" s="407"/>
      <c r="Q568" s="547"/>
      <c r="R568" s="77"/>
      <c r="S568" s="658" t="s">
        <v>91</v>
      </c>
      <c r="T568" s="337" t="s">
        <v>6449</v>
      </c>
      <c r="U568" s="2">
        <v>1770</v>
      </c>
      <c r="X568" s="2">
        <v>400</v>
      </c>
      <c r="Y568" s="2">
        <v>306</v>
      </c>
      <c r="Z568" s="2">
        <v>534</v>
      </c>
      <c r="AA568" s="2" t="s">
        <v>85</v>
      </c>
      <c r="AB568" s="2" t="s">
        <v>10</v>
      </c>
      <c r="AC568" s="2">
        <v>3</v>
      </c>
      <c r="AD568" s="3" t="s">
        <v>6450</v>
      </c>
      <c r="AE568" s="3" t="s">
        <v>1193</v>
      </c>
      <c r="AF568" s="3" t="s">
        <v>6372</v>
      </c>
      <c r="AG568" s="747">
        <v>44236</v>
      </c>
      <c r="AJ568" s="1107"/>
    </row>
    <row r="569" spans="1:36" ht="64.5" x14ac:dyDescent="0.25">
      <c r="A569" s="488"/>
      <c r="B569" s="486"/>
      <c r="C569" s="407"/>
      <c r="D569" s="572"/>
      <c r="E569" s="572"/>
      <c r="F569" s="541"/>
      <c r="G569" s="541"/>
      <c r="H569" s="407"/>
      <c r="I569" s="541"/>
      <c r="J569" s="121"/>
      <c r="K569" s="795"/>
      <c r="L569" s="797"/>
      <c r="M569" s="982"/>
      <c r="N569" s="982"/>
      <c r="O569" s="796"/>
      <c r="P569" s="796"/>
      <c r="Q569" s="797"/>
      <c r="R569" s="798"/>
      <c r="S569" s="659" t="s">
        <v>92</v>
      </c>
      <c r="T569" s="660" t="s">
        <v>6430</v>
      </c>
      <c r="U569" s="661">
        <v>9500</v>
      </c>
      <c r="V569" s="661"/>
      <c r="W569" s="661"/>
      <c r="X569" s="661">
        <v>8100</v>
      </c>
      <c r="Y569" s="661"/>
      <c r="Z569" s="661"/>
      <c r="AA569" s="661" t="s">
        <v>85</v>
      </c>
      <c r="AB569" s="661" t="s">
        <v>10</v>
      </c>
      <c r="AC569" s="661">
        <v>3</v>
      </c>
      <c r="AD569" s="662" t="s">
        <v>6434</v>
      </c>
      <c r="AE569" s="662" t="s">
        <v>1193</v>
      </c>
      <c r="AF569" s="662" t="s">
        <v>6372</v>
      </c>
      <c r="AG569" s="748">
        <v>44236</v>
      </c>
      <c r="AH569" s="662"/>
      <c r="AI569" s="661"/>
      <c r="AJ569" s="1134"/>
    </row>
    <row r="570" spans="1:36" ht="102.75" x14ac:dyDescent="0.25">
      <c r="A570" s="488"/>
      <c r="B570" s="486"/>
      <c r="C570" s="407"/>
      <c r="D570" s="572"/>
      <c r="E570" s="572"/>
      <c r="F570" s="541"/>
      <c r="G570" s="541"/>
      <c r="H570" s="407"/>
      <c r="I570" s="541"/>
      <c r="J570" s="121"/>
      <c r="K570" s="188">
        <v>4020</v>
      </c>
      <c r="L570" s="547" t="s">
        <v>6451</v>
      </c>
      <c r="M570" s="926">
        <v>1892027.4364179999</v>
      </c>
      <c r="N570" s="926">
        <v>5755463.473363</v>
      </c>
      <c r="O570" s="407"/>
      <c r="P570" s="407">
        <v>5</v>
      </c>
      <c r="Q570" s="547" t="s">
        <v>2156</v>
      </c>
      <c r="R570" s="77" t="s">
        <v>2156</v>
      </c>
      <c r="S570" s="658" t="s">
        <v>47</v>
      </c>
      <c r="T570" s="337" t="s">
        <v>6452</v>
      </c>
      <c r="V570" s="2">
        <v>297</v>
      </c>
      <c r="W570" s="2">
        <v>511</v>
      </c>
      <c r="Y570" s="2">
        <v>297</v>
      </c>
      <c r="AA570" s="2" t="s">
        <v>85</v>
      </c>
      <c r="AB570" s="2" t="s">
        <v>10</v>
      </c>
      <c r="AC570" s="2">
        <v>3</v>
      </c>
      <c r="AD570" s="3" t="s">
        <v>6453</v>
      </c>
      <c r="AE570" s="3" t="s">
        <v>1193</v>
      </c>
      <c r="AF570" s="3" t="s">
        <v>6372</v>
      </c>
      <c r="AG570" s="747">
        <v>44236</v>
      </c>
      <c r="AJ570" s="1107"/>
    </row>
    <row r="571" spans="1:36" ht="64.5" x14ac:dyDescent="0.25">
      <c r="A571" s="488"/>
      <c r="B571" s="486"/>
      <c r="C571" s="407"/>
      <c r="D571" s="572"/>
      <c r="E571" s="572"/>
      <c r="F571" s="541"/>
      <c r="G571" s="541"/>
      <c r="H571" s="407"/>
      <c r="I571" s="541"/>
      <c r="J571" s="121"/>
      <c r="K571" s="188"/>
      <c r="L571" s="547"/>
      <c r="M571" s="926"/>
      <c r="N571" s="926"/>
      <c r="O571" s="407"/>
      <c r="P571" s="407"/>
      <c r="Q571" s="547"/>
      <c r="R571" s="77"/>
      <c r="S571" s="658" t="s">
        <v>91</v>
      </c>
      <c r="T571" s="337" t="s">
        <v>6428</v>
      </c>
      <c r="U571" s="2">
        <v>8100</v>
      </c>
      <c r="X571" s="2">
        <v>1770</v>
      </c>
      <c r="AA571" s="2" t="s">
        <v>85</v>
      </c>
      <c r="AB571" s="2" t="s">
        <v>10</v>
      </c>
      <c r="AC571" s="2">
        <v>3</v>
      </c>
      <c r="AD571" s="3" t="s">
        <v>6454</v>
      </c>
      <c r="AE571" s="3" t="s">
        <v>1193</v>
      </c>
      <c r="AF571" s="3" t="s">
        <v>6372</v>
      </c>
      <c r="AG571" s="747">
        <v>44236</v>
      </c>
      <c r="AJ571" s="1107"/>
    </row>
    <row r="572" spans="1:36" ht="51.75" x14ac:dyDescent="0.25">
      <c r="A572" s="488"/>
      <c r="B572" s="486"/>
      <c r="C572" s="407"/>
      <c r="D572" s="572"/>
      <c r="E572" s="572"/>
      <c r="F572" s="541"/>
      <c r="G572" s="541"/>
      <c r="H572" s="407"/>
      <c r="I572" s="541"/>
      <c r="J572" s="121"/>
      <c r="K572" s="188"/>
      <c r="L572" s="547"/>
      <c r="M572" s="926"/>
      <c r="N572" s="926"/>
      <c r="O572" s="407"/>
      <c r="P572" s="407"/>
      <c r="Q572" s="547"/>
      <c r="R572" s="77"/>
      <c r="S572" s="658" t="s">
        <v>92</v>
      </c>
      <c r="T572" s="337" t="s">
        <v>6423</v>
      </c>
      <c r="U572" s="2">
        <v>13800</v>
      </c>
      <c r="X572" s="2">
        <v>13800</v>
      </c>
      <c r="AA572" s="2" t="s">
        <v>85</v>
      </c>
      <c r="AB572" s="2" t="s">
        <v>10</v>
      </c>
      <c r="AC572" s="2">
        <v>3</v>
      </c>
      <c r="AD572" s="3" t="s">
        <v>6455</v>
      </c>
      <c r="AE572" s="3" t="s">
        <v>1193</v>
      </c>
      <c r="AF572" s="3" t="s">
        <v>6372</v>
      </c>
      <c r="AG572" s="747">
        <v>44236</v>
      </c>
      <c r="AJ572" s="1107"/>
    </row>
    <row r="573" spans="1:36" ht="39" x14ac:dyDescent="0.25">
      <c r="A573" s="488"/>
      <c r="B573" s="486"/>
      <c r="C573" s="407"/>
      <c r="D573" s="572"/>
      <c r="E573" s="572"/>
      <c r="F573" s="541"/>
      <c r="G573" s="541"/>
      <c r="H573" s="407"/>
      <c r="I573" s="541"/>
      <c r="J573" s="121"/>
      <c r="K573" s="188"/>
      <c r="L573" s="547"/>
      <c r="M573" s="926"/>
      <c r="N573" s="926"/>
      <c r="O573" s="407"/>
      <c r="P573" s="407"/>
      <c r="Q573" s="547"/>
      <c r="R573" s="77"/>
      <c r="S573" s="658" t="s">
        <v>99</v>
      </c>
      <c r="T573" s="337" t="s">
        <v>6456</v>
      </c>
      <c r="U573" s="2">
        <v>15800</v>
      </c>
      <c r="X573" s="2">
        <v>15800</v>
      </c>
      <c r="AA573" s="2" t="s">
        <v>85</v>
      </c>
      <c r="AB573" s="2" t="s">
        <v>10</v>
      </c>
      <c r="AC573" s="2">
        <v>3</v>
      </c>
      <c r="AD573" s="3" t="s">
        <v>6457</v>
      </c>
      <c r="AE573" s="3" t="s">
        <v>1193</v>
      </c>
      <c r="AF573" s="3" t="s">
        <v>6372</v>
      </c>
      <c r="AG573" s="747">
        <v>44236</v>
      </c>
      <c r="AJ573" s="1107"/>
    </row>
    <row r="574" spans="1:36" ht="78" thickBot="1" x14ac:dyDescent="0.3">
      <c r="A574" s="489"/>
      <c r="B574" s="133"/>
      <c r="C574" s="78"/>
      <c r="D574" s="569"/>
      <c r="E574" s="569"/>
      <c r="F574" s="119"/>
      <c r="G574" s="119"/>
      <c r="H574" s="78"/>
      <c r="I574" s="119"/>
      <c r="J574" s="429"/>
      <c r="K574" s="192"/>
      <c r="L574" s="79"/>
      <c r="M574" s="916"/>
      <c r="N574" s="916"/>
      <c r="O574" s="78"/>
      <c r="P574" s="78"/>
      <c r="Q574" s="79"/>
      <c r="R574" s="80"/>
      <c r="S574" s="657" t="s">
        <v>100</v>
      </c>
      <c r="T574" s="335" t="s">
        <v>6458</v>
      </c>
      <c r="U574" s="25"/>
      <c r="V574" s="25"/>
      <c r="W574" s="25"/>
      <c r="X574" s="25">
        <v>22500</v>
      </c>
      <c r="Y574" s="25"/>
      <c r="Z574" s="25"/>
      <c r="AA574" s="25" t="s">
        <v>85</v>
      </c>
      <c r="AB574" s="25" t="s">
        <v>10</v>
      </c>
      <c r="AC574" s="25">
        <v>3</v>
      </c>
      <c r="AD574" s="52" t="s">
        <v>6459</v>
      </c>
      <c r="AE574" s="52" t="s">
        <v>1193</v>
      </c>
      <c r="AF574" s="52" t="s">
        <v>6372</v>
      </c>
      <c r="AG574" s="745">
        <v>44236</v>
      </c>
      <c r="AH574" s="52"/>
      <c r="AI574" s="25"/>
      <c r="AJ574" s="653"/>
    </row>
    <row r="575" spans="1:36" ht="51.75" x14ac:dyDescent="0.25">
      <c r="A575" s="635" t="s">
        <v>1855</v>
      </c>
      <c r="B575" s="316" t="s">
        <v>1855</v>
      </c>
      <c r="C575" s="254">
        <v>37</v>
      </c>
      <c r="D575" s="597" t="s">
        <v>57</v>
      </c>
      <c r="E575" s="585"/>
      <c r="F575" s="126"/>
      <c r="G575" s="126"/>
      <c r="H575" s="125"/>
      <c r="I575" s="126"/>
      <c r="J575" s="247"/>
      <c r="K575" s="189">
        <v>799</v>
      </c>
      <c r="L575" s="355" t="s">
        <v>1861</v>
      </c>
      <c r="M575" s="911">
        <v>1678150.4284000001</v>
      </c>
      <c r="N575" s="911">
        <v>5626048.1677000001</v>
      </c>
      <c r="O575" s="126" t="s">
        <v>4587</v>
      </c>
      <c r="P575" s="394" t="s">
        <v>4020</v>
      </c>
      <c r="Q575" s="355" t="s">
        <v>4588</v>
      </c>
      <c r="R575" s="134" t="s">
        <v>85</v>
      </c>
      <c r="S575" s="38" t="s">
        <v>47</v>
      </c>
      <c r="T575" s="39" t="s">
        <v>4580</v>
      </c>
      <c r="U575" s="31"/>
      <c r="V575" s="31">
        <v>6014</v>
      </c>
      <c r="W575" s="31">
        <v>6287</v>
      </c>
      <c r="X575" s="31"/>
      <c r="Y575" s="31"/>
      <c r="Z575" s="31"/>
      <c r="AA575" s="31" t="s">
        <v>85</v>
      </c>
      <c r="AB575" s="31" t="s">
        <v>10</v>
      </c>
      <c r="AC575" s="31">
        <v>3</v>
      </c>
      <c r="AD575" s="40" t="s">
        <v>4581</v>
      </c>
      <c r="AE575" s="40" t="s">
        <v>1868</v>
      </c>
      <c r="AF575" s="40" t="s">
        <v>37</v>
      </c>
      <c r="AG575" s="744">
        <v>44215</v>
      </c>
      <c r="AH575" s="40"/>
      <c r="AI575" s="31"/>
      <c r="AJ575" s="652"/>
    </row>
    <row r="576" spans="1:36" ht="39" x14ac:dyDescent="0.25">
      <c r="A576" s="339"/>
      <c r="B576" s="116"/>
      <c r="C576" s="95"/>
      <c r="D576" s="567"/>
      <c r="E576" s="567"/>
      <c r="F576" s="108"/>
      <c r="G576" s="108"/>
      <c r="H576" s="95"/>
      <c r="I576" s="108"/>
      <c r="J576" s="122"/>
      <c r="K576" s="191"/>
      <c r="L576" s="359"/>
      <c r="M576" s="913"/>
      <c r="N576" s="913"/>
      <c r="O576" s="95"/>
      <c r="P576" s="95"/>
      <c r="Q576" s="359"/>
      <c r="R576" s="98"/>
      <c r="S576" s="42" t="s">
        <v>91</v>
      </c>
      <c r="T576" s="43" t="s">
        <v>4582</v>
      </c>
      <c r="U576" s="24"/>
      <c r="V576" s="24">
        <v>6014</v>
      </c>
      <c r="W576" s="24">
        <v>6287</v>
      </c>
      <c r="X576" s="24"/>
      <c r="Y576" s="24">
        <v>6280</v>
      </c>
      <c r="Z576" s="24">
        <v>6460</v>
      </c>
      <c r="AA576" s="24" t="s">
        <v>16</v>
      </c>
      <c r="AB576" s="24" t="s">
        <v>10</v>
      </c>
      <c r="AC576" s="24">
        <v>2</v>
      </c>
      <c r="AD576" s="46" t="s">
        <v>4575</v>
      </c>
      <c r="AE576" s="46" t="s">
        <v>1868</v>
      </c>
      <c r="AF576" s="46" t="s">
        <v>37</v>
      </c>
      <c r="AG576" s="746">
        <v>44215</v>
      </c>
      <c r="AH576" s="46"/>
      <c r="AI576" s="24"/>
      <c r="AJ576" s="1107"/>
    </row>
    <row r="577" spans="1:36" ht="64.5" x14ac:dyDescent="0.25">
      <c r="A577" s="339"/>
      <c r="B577" s="116"/>
      <c r="C577" s="95"/>
      <c r="D577" s="567"/>
      <c r="E577" s="567"/>
      <c r="F577" s="108"/>
      <c r="G577" s="108"/>
      <c r="H577" s="95"/>
      <c r="I577" s="108"/>
      <c r="J577" s="122"/>
      <c r="K577" s="191"/>
      <c r="L577" s="359"/>
      <c r="M577" s="913"/>
      <c r="N577" s="913"/>
      <c r="O577" s="95"/>
      <c r="P577" s="95"/>
      <c r="Q577" s="359"/>
      <c r="R577" s="98"/>
      <c r="S577" s="42" t="s">
        <v>92</v>
      </c>
      <c r="T577" s="43" t="s">
        <v>4583</v>
      </c>
      <c r="U577" s="24">
        <v>13000</v>
      </c>
      <c r="V577" s="24"/>
      <c r="W577" s="24"/>
      <c r="X577" s="24"/>
      <c r="Y577" s="24">
        <v>11190</v>
      </c>
      <c r="Z577" s="24">
        <v>11470</v>
      </c>
      <c r="AA577" s="24" t="s">
        <v>85</v>
      </c>
      <c r="AB577" s="24" t="s">
        <v>10</v>
      </c>
      <c r="AC577" s="24">
        <v>3</v>
      </c>
      <c r="AD577" s="46" t="s">
        <v>4584</v>
      </c>
      <c r="AE577" s="46" t="s">
        <v>1868</v>
      </c>
      <c r="AF577" s="46" t="s">
        <v>37</v>
      </c>
      <c r="AG577" s="746">
        <v>44215</v>
      </c>
      <c r="AH577" s="46"/>
      <c r="AI577" s="24"/>
      <c r="AJ577" s="1107"/>
    </row>
    <row r="578" spans="1:36" ht="65.25" thickBot="1" x14ac:dyDescent="0.3">
      <c r="A578" s="336"/>
      <c r="B578" s="196"/>
      <c r="C578" s="96"/>
      <c r="D578" s="566"/>
      <c r="E578" s="566"/>
      <c r="F578" s="107"/>
      <c r="G578" s="107"/>
      <c r="H578" s="96"/>
      <c r="I578" s="107"/>
      <c r="J578" s="123"/>
      <c r="K578" s="190"/>
      <c r="L578" s="357"/>
      <c r="M578" s="912"/>
      <c r="N578" s="912"/>
      <c r="O578" s="96"/>
      <c r="P578" s="96"/>
      <c r="Q578" s="357"/>
      <c r="R578" s="100"/>
      <c r="S578" s="48" t="s">
        <v>99</v>
      </c>
      <c r="T578" s="49" t="s">
        <v>4585</v>
      </c>
      <c r="U578" s="25">
        <v>27000</v>
      </c>
      <c r="V578" s="25"/>
      <c r="W578" s="25"/>
      <c r="X578" s="25"/>
      <c r="Y578" s="25">
        <v>20722</v>
      </c>
      <c r="Z578" s="25">
        <v>21610</v>
      </c>
      <c r="AA578" s="25" t="s">
        <v>16</v>
      </c>
      <c r="AB578" s="25" t="s">
        <v>16</v>
      </c>
      <c r="AC578" s="25">
        <v>2</v>
      </c>
      <c r="AD578" s="52" t="s">
        <v>4586</v>
      </c>
      <c r="AE578" s="52" t="s">
        <v>1868</v>
      </c>
      <c r="AF578" s="52" t="s">
        <v>37</v>
      </c>
      <c r="AG578" s="745">
        <v>44215</v>
      </c>
      <c r="AH578" s="52"/>
      <c r="AI578" s="25"/>
      <c r="AJ578" s="653"/>
    </row>
    <row r="579" spans="1:36" ht="90.75" thickBot="1" x14ac:dyDescent="0.3">
      <c r="A579" s="648" t="s">
        <v>878</v>
      </c>
      <c r="B579" s="598" t="s">
        <v>5507</v>
      </c>
      <c r="C579" s="248">
        <v>681</v>
      </c>
      <c r="D579" s="595" t="s">
        <v>53</v>
      </c>
      <c r="E579" s="595" t="s">
        <v>52</v>
      </c>
      <c r="F579" s="426"/>
      <c r="G579" s="426"/>
      <c r="H579" s="248"/>
      <c r="I579" s="426"/>
      <c r="J579" s="634"/>
      <c r="K579" s="425">
        <v>665</v>
      </c>
      <c r="L579" s="472" t="s">
        <v>4229</v>
      </c>
      <c r="M579" s="934">
        <v>1481632.2644</v>
      </c>
      <c r="N579" s="934">
        <v>5198358.2079999996</v>
      </c>
      <c r="O579" s="529" t="s">
        <v>4232</v>
      </c>
      <c r="P579" s="248">
        <v>2</v>
      </c>
      <c r="Q579" s="472" t="s">
        <v>4233</v>
      </c>
      <c r="R579" s="427" t="s">
        <v>85</v>
      </c>
      <c r="S579" s="428" t="s">
        <v>47</v>
      </c>
      <c r="T579" s="243" t="s">
        <v>4230</v>
      </c>
      <c r="U579" s="86"/>
      <c r="V579" s="86">
        <v>4162</v>
      </c>
      <c r="W579" s="86">
        <v>4532</v>
      </c>
      <c r="X579" s="86"/>
      <c r="Y579" s="86"/>
      <c r="Z579" s="86"/>
      <c r="AA579" s="86" t="s">
        <v>85</v>
      </c>
      <c r="AB579" s="86" t="s">
        <v>16</v>
      </c>
      <c r="AC579" s="86">
        <v>3</v>
      </c>
      <c r="AD579" s="92" t="s">
        <v>4231</v>
      </c>
      <c r="AE579" s="92" t="s">
        <v>884</v>
      </c>
      <c r="AF579" s="92" t="s">
        <v>37</v>
      </c>
      <c r="AG579" s="743">
        <v>44209</v>
      </c>
      <c r="AH579" s="92"/>
      <c r="AI579" s="86"/>
      <c r="AJ579" s="1108"/>
    </row>
    <row r="580" spans="1:36" ht="39" x14ac:dyDescent="0.25">
      <c r="A580" s="341" t="s">
        <v>878</v>
      </c>
      <c r="B580" s="181" t="s">
        <v>878</v>
      </c>
      <c r="C580" s="125">
        <v>680</v>
      </c>
      <c r="D580" s="585" t="s">
        <v>53</v>
      </c>
      <c r="E580" s="585" t="s">
        <v>52</v>
      </c>
      <c r="F580" s="126"/>
      <c r="G580" s="126"/>
      <c r="H580" s="125"/>
      <c r="I580" s="126"/>
      <c r="J580" s="247"/>
      <c r="K580" s="189">
        <v>663</v>
      </c>
      <c r="L580" s="355" t="s">
        <v>4210</v>
      </c>
      <c r="M580" s="911">
        <v>1498121.6410999999</v>
      </c>
      <c r="N580" s="911">
        <v>5205426.3815000001</v>
      </c>
      <c r="O580" s="125" t="s">
        <v>41</v>
      </c>
      <c r="P580" s="125">
        <v>6</v>
      </c>
      <c r="Q580" s="355" t="s">
        <v>2156</v>
      </c>
      <c r="R580" s="134" t="s">
        <v>2156</v>
      </c>
      <c r="S580" s="38" t="s">
        <v>47</v>
      </c>
      <c r="T580" s="39" t="s">
        <v>4217</v>
      </c>
      <c r="U580" s="31"/>
      <c r="V580" s="31">
        <v>764</v>
      </c>
      <c r="W580" s="31">
        <v>969</v>
      </c>
      <c r="X580" s="31"/>
      <c r="Y580" s="31">
        <v>310</v>
      </c>
      <c r="Z580" s="31">
        <v>510</v>
      </c>
      <c r="AA580" s="31" t="s">
        <v>16</v>
      </c>
      <c r="AB580" s="31" t="s">
        <v>16</v>
      </c>
      <c r="AC580" s="31">
        <v>2</v>
      </c>
      <c r="AD580" s="40" t="s">
        <v>4211</v>
      </c>
      <c r="AE580" s="40" t="s">
        <v>884</v>
      </c>
      <c r="AF580" s="40" t="s">
        <v>37</v>
      </c>
      <c r="AG580" s="744">
        <v>44209</v>
      </c>
      <c r="AH580" s="40"/>
      <c r="AI580" s="31"/>
      <c r="AJ580" s="652"/>
    </row>
    <row r="581" spans="1:36" ht="39" x14ac:dyDescent="0.25">
      <c r="A581" s="339"/>
      <c r="B581" s="116"/>
      <c r="C581" s="95"/>
      <c r="D581" s="567"/>
      <c r="E581" s="567"/>
      <c r="F581" s="108"/>
      <c r="G581" s="108"/>
      <c r="H581" s="95"/>
      <c r="I581" s="108"/>
      <c r="J581" s="122"/>
      <c r="K581" s="191"/>
      <c r="L581" s="359"/>
      <c r="M581" s="913"/>
      <c r="N581" s="913"/>
      <c r="O581" s="95"/>
      <c r="P581" s="95"/>
      <c r="Q581" s="359"/>
      <c r="R581" s="98"/>
      <c r="S581" s="42" t="s">
        <v>91</v>
      </c>
      <c r="T581" s="43" t="s">
        <v>4216</v>
      </c>
      <c r="U581" s="24"/>
      <c r="V581" s="24">
        <v>1414</v>
      </c>
      <c r="W581" s="24">
        <v>1704</v>
      </c>
      <c r="X581" s="24"/>
      <c r="Y581" s="24">
        <v>764</v>
      </c>
      <c r="Z581" s="24">
        <v>969</v>
      </c>
      <c r="AA581" s="24" t="s">
        <v>16</v>
      </c>
      <c r="AB581" s="24" t="s">
        <v>16</v>
      </c>
      <c r="AC581" s="24">
        <v>2</v>
      </c>
      <c r="AD581" s="46" t="s">
        <v>4211</v>
      </c>
      <c r="AE581" s="46" t="s">
        <v>884</v>
      </c>
      <c r="AF581" s="46" t="s">
        <v>37</v>
      </c>
      <c r="AG581" s="746">
        <v>44209</v>
      </c>
      <c r="AH581" s="46"/>
      <c r="AI581" s="24"/>
      <c r="AJ581" s="1107"/>
    </row>
    <row r="582" spans="1:36" ht="39" x14ac:dyDescent="0.25">
      <c r="A582" s="339"/>
      <c r="B582" s="116"/>
      <c r="C582" s="95"/>
      <c r="D582" s="567"/>
      <c r="E582" s="567"/>
      <c r="F582" s="108"/>
      <c r="G582" s="108"/>
      <c r="H582" s="95"/>
      <c r="I582" s="108"/>
      <c r="J582" s="122"/>
      <c r="K582" s="191"/>
      <c r="L582" s="359"/>
      <c r="M582" s="913"/>
      <c r="N582" s="913"/>
      <c r="O582" s="95"/>
      <c r="P582" s="95"/>
      <c r="Q582" s="359"/>
      <c r="R582" s="98"/>
      <c r="S582" s="42" t="s">
        <v>92</v>
      </c>
      <c r="T582" s="43" t="s">
        <v>4219</v>
      </c>
      <c r="U582" s="24"/>
      <c r="V582" s="24">
        <v>2349</v>
      </c>
      <c r="W582" s="24">
        <v>2742</v>
      </c>
      <c r="X582" s="24"/>
      <c r="Y582" s="24">
        <v>1414</v>
      </c>
      <c r="Z582" s="24">
        <v>1704</v>
      </c>
      <c r="AA582" s="24" t="s">
        <v>16</v>
      </c>
      <c r="AB582" s="24" t="s">
        <v>16</v>
      </c>
      <c r="AC582" s="24">
        <v>2</v>
      </c>
      <c r="AD582" s="46" t="s">
        <v>4211</v>
      </c>
      <c r="AE582" s="46" t="s">
        <v>884</v>
      </c>
      <c r="AF582" s="46" t="s">
        <v>37</v>
      </c>
      <c r="AG582" s="746">
        <v>44209</v>
      </c>
      <c r="AH582" s="46"/>
      <c r="AI582" s="24"/>
      <c r="AJ582" s="1107"/>
    </row>
    <row r="583" spans="1:36" ht="39" x14ac:dyDescent="0.25">
      <c r="A583" s="339"/>
      <c r="B583" s="116"/>
      <c r="C583" s="95"/>
      <c r="D583" s="567"/>
      <c r="E583" s="567"/>
      <c r="F583" s="108"/>
      <c r="G583" s="108"/>
      <c r="H583" s="95"/>
      <c r="I583" s="108"/>
      <c r="J583" s="122"/>
      <c r="K583" s="191"/>
      <c r="L583" s="359"/>
      <c r="M583" s="913"/>
      <c r="N583" s="913"/>
      <c r="O583" s="95"/>
      <c r="P583" s="95"/>
      <c r="Q583" s="359"/>
      <c r="R583" s="98"/>
      <c r="S583" s="42" t="s">
        <v>99</v>
      </c>
      <c r="T583" s="43" t="s">
        <v>4215</v>
      </c>
      <c r="U583" s="24"/>
      <c r="V583" s="24">
        <v>5717</v>
      </c>
      <c r="W583" s="24">
        <v>5985</v>
      </c>
      <c r="X583" s="24"/>
      <c r="Y583" s="24">
        <v>4529</v>
      </c>
      <c r="Z583" s="24">
        <v>4851</v>
      </c>
      <c r="AA583" s="24" t="s">
        <v>16</v>
      </c>
      <c r="AB583" s="24" t="s">
        <v>16</v>
      </c>
      <c r="AC583" s="24">
        <v>2</v>
      </c>
      <c r="AD583" s="46" t="s">
        <v>4211</v>
      </c>
      <c r="AE583" s="46" t="s">
        <v>884</v>
      </c>
      <c r="AF583" s="46" t="s">
        <v>37</v>
      </c>
      <c r="AG583" s="746">
        <v>44209</v>
      </c>
      <c r="AH583" s="46"/>
      <c r="AI583" s="24"/>
      <c r="AJ583" s="1107"/>
    </row>
    <row r="584" spans="1:36" ht="39" x14ac:dyDescent="0.25">
      <c r="A584" s="339"/>
      <c r="B584" s="116"/>
      <c r="C584" s="95"/>
      <c r="D584" s="567"/>
      <c r="E584" s="567"/>
      <c r="F584" s="108"/>
      <c r="G584" s="108"/>
      <c r="H584" s="95"/>
      <c r="I584" s="108"/>
      <c r="J584" s="122"/>
      <c r="K584" s="191"/>
      <c r="L584" s="359"/>
      <c r="M584" s="913"/>
      <c r="N584" s="913"/>
      <c r="O584" s="95"/>
      <c r="P584" s="95"/>
      <c r="Q584" s="359"/>
      <c r="R584" s="98"/>
      <c r="S584" s="42" t="s">
        <v>100</v>
      </c>
      <c r="T584" s="43" t="s">
        <v>4212</v>
      </c>
      <c r="U584" s="24"/>
      <c r="V584" s="24">
        <v>6406</v>
      </c>
      <c r="W584" s="24">
        <v>6720</v>
      </c>
      <c r="X584" s="24"/>
      <c r="Y584" s="24">
        <v>5717</v>
      </c>
      <c r="Z584" s="24">
        <v>5985</v>
      </c>
      <c r="AA584" s="24" t="s">
        <v>16</v>
      </c>
      <c r="AB584" s="24" t="s">
        <v>16</v>
      </c>
      <c r="AC584" s="24">
        <v>2</v>
      </c>
      <c r="AD584" s="46" t="s">
        <v>4214</v>
      </c>
      <c r="AE584" s="46" t="s">
        <v>884</v>
      </c>
      <c r="AF584" s="46" t="s">
        <v>37</v>
      </c>
      <c r="AG584" s="746">
        <v>44209</v>
      </c>
      <c r="AH584" s="46"/>
      <c r="AI584" s="24"/>
      <c r="AJ584" s="1107"/>
    </row>
    <row r="585" spans="1:36" ht="39.75" thickBot="1" x14ac:dyDescent="0.3">
      <c r="A585" s="339"/>
      <c r="B585" s="116"/>
      <c r="C585" s="95"/>
      <c r="D585" s="567"/>
      <c r="E585" s="567"/>
      <c r="F585" s="108"/>
      <c r="G585" s="108"/>
      <c r="H585" s="95"/>
      <c r="I585" s="108"/>
      <c r="J585" s="122"/>
      <c r="K585" s="190"/>
      <c r="L585" s="357"/>
      <c r="M585" s="912"/>
      <c r="N585" s="912"/>
      <c r="O585" s="96"/>
      <c r="P585" s="96"/>
      <c r="Q585" s="357"/>
      <c r="R585" s="100"/>
      <c r="S585" s="48" t="s">
        <v>101</v>
      </c>
      <c r="T585" s="49" t="s">
        <v>4213</v>
      </c>
      <c r="U585" s="25"/>
      <c r="V585" s="25">
        <v>8979</v>
      </c>
      <c r="W585" s="25">
        <v>8425</v>
      </c>
      <c r="X585" s="25"/>
      <c r="Y585" s="25">
        <v>8387</v>
      </c>
      <c r="Z585" s="25">
        <v>8602</v>
      </c>
      <c r="AA585" s="25" t="s">
        <v>16</v>
      </c>
      <c r="AB585" s="25" t="s">
        <v>16</v>
      </c>
      <c r="AC585" s="25">
        <v>2</v>
      </c>
      <c r="AD585" s="52" t="s">
        <v>4211</v>
      </c>
      <c r="AE585" s="52" t="s">
        <v>884</v>
      </c>
      <c r="AF585" s="52" t="s">
        <v>37</v>
      </c>
      <c r="AG585" s="745">
        <v>44209</v>
      </c>
      <c r="AH585" s="52"/>
      <c r="AI585" s="25"/>
      <c r="AJ585" s="653"/>
    </row>
    <row r="586" spans="1:36" ht="51.75" x14ac:dyDescent="0.25">
      <c r="A586" s="339"/>
      <c r="B586" s="116"/>
      <c r="C586" s="95"/>
      <c r="D586" s="567"/>
      <c r="E586" s="567"/>
      <c r="F586" s="108"/>
      <c r="G586" s="108"/>
      <c r="H586" s="95"/>
      <c r="I586" s="108"/>
      <c r="J586" s="122"/>
      <c r="K586" s="189" t="s">
        <v>2156</v>
      </c>
      <c r="L586" s="355" t="s">
        <v>4218</v>
      </c>
      <c r="M586" s="911" t="s">
        <v>2156</v>
      </c>
      <c r="N586" s="911" t="s">
        <v>2156</v>
      </c>
      <c r="O586" s="125" t="s">
        <v>4223</v>
      </c>
      <c r="P586" s="125">
        <v>6</v>
      </c>
      <c r="Q586" s="355" t="s">
        <v>4224</v>
      </c>
      <c r="R586" s="134" t="s">
        <v>16</v>
      </c>
      <c r="S586" s="38" t="s">
        <v>47</v>
      </c>
      <c r="T586" s="39" t="s">
        <v>4220</v>
      </c>
      <c r="U586" s="31"/>
      <c r="V586" s="31"/>
      <c r="W586" s="31">
        <v>600</v>
      </c>
      <c r="X586" s="31"/>
      <c r="Y586" s="31">
        <v>500</v>
      </c>
      <c r="Z586" s="31"/>
      <c r="AA586" s="31" t="s">
        <v>16</v>
      </c>
      <c r="AB586" s="31" t="s">
        <v>16</v>
      </c>
      <c r="AC586" s="31">
        <v>2</v>
      </c>
      <c r="AD586" s="40" t="s">
        <v>4225</v>
      </c>
      <c r="AE586" s="40" t="s">
        <v>884</v>
      </c>
      <c r="AF586" s="40" t="s">
        <v>37</v>
      </c>
      <c r="AG586" s="744">
        <v>44209</v>
      </c>
      <c r="AH586" s="40"/>
      <c r="AI586" s="31"/>
      <c r="AJ586" s="652"/>
    </row>
    <row r="587" spans="1:36" ht="26.25" x14ac:dyDescent="0.25">
      <c r="A587" s="339"/>
      <c r="B587" s="116"/>
      <c r="C587" s="95"/>
      <c r="D587" s="567"/>
      <c r="E587" s="567"/>
      <c r="F587" s="108"/>
      <c r="G587" s="108"/>
      <c r="H587" s="95"/>
      <c r="I587" s="108"/>
      <c r="J587" s="122"/>
      <c r="K587" s="191"/>
      <c r="L587" s="359"/>
      <c r="M587" s="913"/>
      <c r="N587" s="913"/>
      <c r="O587" s="95"/>
      <c r="P587" s="95"/>
      <c r="Q587" s="359"/>
      <c r="R587" s="98"/>
      <c r="S587" s="42" t="s">
        <v>91</v>
      </c>
      <c r="T587" s="43" t="s">
        <v>4221</v>
      </c>
      <c r="U587" s="24"/>
      <c r="V587" s="24">
        <v>801</v>
      </c>
      <c r="W587" s="24">
        <v>1055</v>
      </c>
      <c r="X587" s="24"/>
      <c r="Y587" s="24">
        <v>801</v>
      </c>
      <c r="Z587" s="24">
        <v>1055</v>
      </c>
      <c r="AA587" s="24" t="s">
        <v>16</v>
      </c>
      <c r="AB587" s="24" t="s">
        <v>16</v>
      </c>
      <c r="AC587" s="24">
        <v>2</v>
      </c>
      <c r="AD587" s="46" t="s">
        <v>4228</v>
      </c>
      <c r="AE587" s="46" t="s">
        <v>884</v>
      </c>
      <c r="AF587" s="46" t="s">
        <v>37</v>
      </c>
      <c r="AG587" s="746">
        <v>44209</v>
      </c>
      <c r="AH587" s="46"/>
      <c r="AI587" s="24"/>
      <c r="AJ587" s="1107"/>
    </row>
    <row r="588" spans="1:36" ht="39" x14ac:dyDescent="0.25">
      <c r="A588" s="339"/>
      <c r="B588" s="116"/>
      <c r="C588" s="95"/>
      <c r="D588" s="567"/>
      <c r="E588" s="567"/>
      <c r="F588" s="108"/>
      <c r="G588" s="108"/>
      <c r="H588" s="95"/>
      <c r="I588" s="108"/>
      <c r="J588" s="122"/>
      <c r="K588" s="191"/>
      <c r="L588" s="359"/>
      <c r="M588" s="913"/>
      <c r="N588" s="913"/>
      <c r="O588" s="95"/>
      <c r="P588" s="95"/>
      <c r="Q588" s="359"/>
      <c r="R588" s="98"/>
      <c r="S588" s="42" t="s">
        <v>92</v>
      </c>
      <c r="T588" s="43" t="s">
        <v>4222</v>
      </c>
      <c r="U588" s="24"/>
      <c r="V588" s="24">
        <v>2500</v>
      </c>
      <c r="W588" s="24"/>
      <c r="X588" s="24"/>
      <c r="Y588" s="24">
        <v>2312</v>
      </c>
      <c r="Z588" s="24">
        <v>2704</v>
      </c>
      <c r="AA588" s="24" t="s">
        <v>16</v>
      </c>
      <c r="AB588" s="24" t="s">
        <v>16</v>
      </c>
      <c r="AC588" s="24">
        <v>2</v>
      </c>
      <c r="AD588" s="46" t="s">
        <v>4227</v>
      </c>
      <c r="AE588" s="46" t="s">
        <v>884</v>
      </c>
      <c r="AF588" s="46" t="s">
        <v>37</v>
      </c>
      <c r="AG588" s="746">
        <v>44209</v>
      </c>
      <c r="AH588" s="46"/>
      <c r="AI588" s="24"/>
      <c r="AJ588" s="1107"/>
    </row>
    <row r="589" spans="1:36" x14ac:dyDescent="0.25">
      <c r="A589" s="339"/>
      <c r="B589" s="116"/>
      <c r="C589" s="95"/>
      <c r="D589" s="567"/>
      <c r="E589" s="567"/>
      <c r="F589" s="108"/>
      <c r="G589" s="108"/>
      <c r="H589" s="95"/>
      <c r="I589" s="108"/>
      <c r="J589" s="122"/>
      <c r="K589" s="191"/>
      <c r="L589" s="359"/>
      <c r="M589" s="913"/>
      <c r="N589" s="913"/>
      <c r="O589" s="95"/>
      <c r="P589" s="95"/>
      <c r="Q589" s="359"/>
      <c r="R589" s="98"/>
      <c r="S589" s="42" t="s">
        <v>99</v>
      </c>
      <c r="T589" s="43" t="s">
        <v>4215</v>
      </c>
      <c r="U589" s="24"/>
      <c r="V589" s="24">
        <v>5717</v>
      </c>
      <c r="W589" s="24">
        <v>5985</v>
      </c>
      <c r="X589" s="24"/>
      <c r="Y589" s="24">
        <v>4529</v>
      </c>
      <c r="Z589" s="24">
        <v>4851</v>
      </c>
      <c r="AA589" s="24" t="s">
        <v>16</v>
      </c>
      <c r="AB589" s="24" t="s">
        <v>16</v>
      </c>
      <c r="AC589" s="24">
        <v>2</v>
      </c>
      <c r="AD589" s="46" t="s">
        <v>4226</v>
      </c>
      <c r="AE589" s="46" t="s">
        <v>884</v>
      </c>
      <c r="AF589" s="46" t="s">
        <v>37</v>
      </c>
      <c r="AG589" s="746">
        <v>44209</v>
      </c>
      <c r="AH589" s="46"/>
      <c r="AI589" s="24"/>
      <c r="AJ589" s="1107"/>
    </row>
    <row r="590" spans="1:36" x14ac:dyDescent="0.25">
      <c r="A590" s="339"/>
      <c r="B590" s="116"/>
      <c r="C590" s="95"/>
      <c r="D590" s="567"/>
      <c r="E590" s="567"/>
      <c r="F590" s="108"/>
      <c r="G590" s="108"/>
      <c r="H590" s="95"/>
      <c r="I590" s="108"/>
      <c r="J590" s="122"/>
      <c r="K590" s="191"/>
      <c r="L590" s="359"/>
      <c r="M590" s="913"/>
      <c r="N590" s="913"/>
      <c r="O590" s="95"/>
      <c r="P590" s="95"/>
      <c r="Q590" s="359"/>
      <c r="R590" s="98"/>
      <c r="S590" s="42" t="s">
        <v>100</v>
      </c>
      <c r="T590" s="43" t="s">
        <v>4212</v>
      </c>
      <c r="U590" s="24"/>
      <c r="V590" s="24">
        <v>6406</v>
      </c>
      <c r="W590" s="24">
        <v>6720</v>
      </c>
      <c r="X590" s="24"/>
      <c r="Y590" s="24">
        <v>5717</v>
      </c>
      <c r="Z590" s="24">
        <v>5985</v>
      </c>
      <c r="AA590" s="24" t="s">
        <v>16</v>
      </c>
      <c r="AB590" s="24" t="s">
        <v>16</v>
      </c>
      <c r="AC590" s="24">
        <v>2</v>
      </c>
      <c r="AD590" s="46" t="s">
        <v>4226</v>
      </c>
      <c r="AE590" s="46" t="s">
        <v>884</v>
      </c>
      <c r="AF590" s="46" t="s">
        <v>37</v>
      </c>
      <c r="AG590" s="746">
        <v>44209</v>
      </c>
      <c r="AH590" s="46"/>
      <c r="AI590" s="24"/>
      <c r="AJ590" s="1107"/>
    </row>
    <row r="591" spans="1:36" ht="15.75" thickBot="1" x14ac:dyDescent="0.3">
      <c r="A591" s="339"/>
      <c r="B591" s="116"/>
      <c r="C591" s="95"/>
      <c r="D591" s="567"/>
      <c r="E591" s="567"/>
      <c r="F591" s="108"/>
      <c r="G591" s="108"/>
      <c r="H591" s="95"/>
      <c r="I591" s="108"/>
      <c r="J591" s="122"/>
      <c r="K591" s="190"/>
      <c r="L591" s="357"/>
      <c r="M591" s="912"/>
      <c r="N591" s="912"/>
      <c r="O591" s="96"/>
      <c r="P591" s="96"/>
      <c r="Q591" s="357"/>
      <c r="R591" s="100"/>
      <c r="S591" s="48" t="s">
        <v>101</v>
      </c>
      <c r="T591" s="49" t="s">
        <v>4213</v>
      </c>
      <c r="U591" s="25"/>
      <c r="V591" s="25">
        <v>8979</v>
      </c>
      <c r="W591" s="25">
        <v>8425</v>
      </c>
      <c r="X591" s="25"/>
      <c r="Y591" s="25">
        <v>8387</v>
      </c>
      <c r="Z591" s="25">
        <v>8602</v>
      </c>
      <c r="AA591" s="25" t="s">
        <v>16</v>
      </c>
      <c r="AB591" s="25" t="s">
        <v>16</v>
      </c>
      <c r="AC591" s="25">
        <v>2</v>
      </c>
      <c r="AD591" s="52" t="s">
        <v>4226</v>
      </c>
      <c r="AE591" s="52" t="s">
        <v>884</v>
      </c>
      <c r="AF591" s="52" t="s">
        <v>37</v>
      </c>
      <c r="AG591" s="745">
        <v>44209</v>
      </c>
      <c r="AH591" s="52"/>
      <c r="AI591" s="25"/>
      <c r="AJ591" s="653"/>
    </row>
    <row r="592" spans="1:36" ht="65.25" thickBot="1" x14ac:dyDescent="0.3">
      <c r="A592" s="339"/>
      <c r="B592" s="116"/>
      <c r="C592" s="95"/>
      <c r="D592" s="567"/>
      <c r="E592" s="567"/>
      <c r="F592" s="108"/>
      <c r="G592" s="108"/>
      <c r="H592" s="95"/>
      <c r="I592" s="108"/>
      <c r="J592" s="122"/>
      <c r="K592" s="89">
        <v>664</v>
      </c>
      <c r="L592" s="396" t="s">
        <v>4720</v>
      </c>
      <c r="M592" s="265">
        <v>1491720.5952000001</v>
      </c>
      <c r="N592" s="265">
        <v>5203189.9522000002</v>
      </c>
      <c r="O592" s="84" t="s">
        <v>41</v>
      </c>
      <c r="P592" s="84">
        <v>1</v>
      </c>
      <c r="Q592" s="396" t="s">
        <v>2156</v>
      </c>
      <c r="R592" s="90" t="s">
        <v>2156</v>
      </c>
      <c r="S592" s="428" t="s">
        <v>47</v>
      </c>
      <c r="T592" s="243" t="s">
        <v>4851</v>
      </c>
      <c r="U592" s="86"/>
      <c r="V592" s="86">
        <v>532</v>
      </c>
      <c r="W592" s="86">
        <f>1950-1286</f>
        <v>664</v>
      </c>
      <c r="X592" s="86"/>
      <c r="Y592" s="86"/>
      <c r="Z592" s="86"/>
      <c r="AA592" s="204" t="s">
        <v>85</v>
      </c>
      <c r="AB592" s="204" t="s">
        <v>85</v>
      </c>
      <c r="AC592" s="204">
        <v>3</v>
      </c>
      <c r="AD592" s="208" t="s">
        <v>4853</v>
      </c>
      <c r="AE592" s="92" t="s">
        <v>7906</v>
      </c>
      <c r="AF592" s="92" t="s">
        <v>37</v>
      </c>
      <c r="AG592" s="743">
        <v>44209</v>
      </c>
      <c r="AH592" s="92"/>
      <c r="AI592" s="86"/>
      <c r="AJ592" s="1108"/>
    </row>
    <row r="593" spans="1:36" ht="64.5" x14ac:dyDescent="0.25">
      <c r="A593" s="339"/>
      <c r="B593" s="116"/>
      <c r="C593" s="95"/>
      <c r="D593" s="567"/>
      <c r="E593" s="567"/>
      <c r="F593" s="108"/>
      <c r="G593" s="108"/>
      <c r="H593" s="95"/>
      <c r="I593" s="108"/>
      <c r="J593" s="122"/>
      <c r="K593" s="189">
        <v>820</v>
      </c>
      <c r="L593" s="355" t="s">
        <v>4721</v>
      </c>
      <c r="M593" s="911">
        <v>1497958.4589</v>
      </c>
      <c r="N593" s="911">
        <v>5205400.0793000003</v>
      </c>
      <c r="O593" s="125" t="s">
        <v>41</v>
      </c>
      <c r="P593" s="125">
        <v>2</v>
      </c>
      <c r="Q593" s="355" t="s">
        <v>2156</v>
      </c>
      <c r="R593" s="134" t="s">
        <v>2156</v>
      </c>
      <c r="S593" s="38" t="s">
        <v>47</v>
      </c>
      <c r="T593" s="39" t="s">
        <v>4724</v>
      </c>
      <c r="U593" s="31"/>
      <c r="V593" s="31">
        <f>1950+5574</f>
        <v>7524</v>
      </c>
      <c r="W593" s="31">
        <f>1950+5979</f>
        <v>7929</v>
      </c>
      <c r="X593" s="31"/>
      <c r="Y593" s="31"/>
      <c r="Z593" s="31"/>
      <c r="AA593" s="31" t="s">
        <v>85</v>
      </c>
      <c r="AB593" s="31" t="s">
        <v>10</v>
      </c>
      <c r="AC593" s="31">
        <v>3</v>
      </c>
      <c r="AD593" s="40" t="s">
        <v>4728</v>
      </c>
      <c r="AE593" s="40" t="s">
        <v>4726</v>
      </c>
      <c r="AF593" s="40" t="s">
        <v>37</v>
      </c>
      <c r="AG593" s="744">
        <v>44218</v>
      </c>
      <c r="AH593" s="40"/>
      <c r="AI593" s="31"/>
      <c r="AJ593" s="652"/>
    </row>
    <row r="594" spans="1:36" ht="65.25" thickBot="1" x14ac:dyDescent="0.3">
      <c r="A594" s="339"/>
      <c r="B594" s="116"/>
      <c r="C594" s="95"/>
      <c r="D594" s="567"/>
      <c r="E594" s="567"/>
      <c r="F594" s="108"/>
      <c r="G594" s="108"/>
      <c r="H594" s="95"/>
      <c r="I594" s="108"/>
      <c r="J594" s="122"/>
      <c r="K594" s="190"/>
      <c r="L594" s="357"/>
      <c r="M594" s="912"/>
      <c r="N594" s="912"/>
      <c r="O594" s="96"/>
      <c r="P594" s="96"/>
      <c r="Q594" s="357"/>
      <c r="R594" s="100"/>
      <c r="S594" s="48" t="s">
        <v>91</v>
      </c>
      <c r="T594" s="49" t="s">
        <v>4725</v>
      </c>
      <c r="U594" s="25"/>
      <c r="V594" s="25">
        <f>1950+7612</f>
        <v>9562</v>
      </c>
      <c r="W594" s="25">
        <f>1950+8273</f>
        <v>10223</v>
      </c>
      <c r="X594" s="25"/>
      <c r="Y594" s="25">
        <f>1950+5574</f>
        <v>7524</v>
      </c>
      <c r="Z594" s="25">
        <f>1950+5979</f>
        <v>7929</v>
      </c>
      <c r="AA594" s="25" t="s">
        <v>16</v>
      </c>
      <c r="AB594" s="25" t="s">
        <v>10</v>
      </c>
      <c r="AC594" s="25">
        <v>2</v>
      </c>
      <c r="AD594" s="52" t="s">
        <v>4729</v>
      </c>
      <c r="AE594" s="52" t="s">
        <v>4726</v>
      </c>
      <c r="AF594" s="52" t="s">
        <v>37</v>
      </c>
      <c r="AG594" s="745">
        <v>44218</v>
      </c>
      <c r="AH594" s="52"/>
      <c r="AI594" s="25"/>
      <c r="AJ594" s="653"/>
    </row>
    <row r="595" spans="1:36" ht="65.25" thickBot="1" x14ac:dyDescent="0.3">
      <c r="A595" s="336"/>
      <c r="B595" s="196"/>
      <c r="C595" s="96"/>
      <c r="D595" s="566"/>
      <c r="E595" s="566"/>
      <c r="F595" s="107"/>
      <c r="G595" s="107"/>
      <c r="H595" s="96"/>
      <c r="I595" s="107"/>
      <c r="J595" s="123"/>
      <c r="K595" s="89">
        <v>821</v>
      </c>
      <c r="L595" s="396" t="s">
        <v>4722</v>
      </c>
      <c r="M595" s="265">
        <v>1498067.4154999999</v>
      </c>
      <c r="N595" s="265">
        <v>5205427.2136000004</v>
      </c>
      <c r="O595" s="84" t="s">
        <v>41</v>
      </c>
      <c r="P595" s="84">
        <v>1</v>
      </c>
      <c r="Q595" s="396" t="s">
        <v>2156</v>
      </c>
      <c r="R595" s="90" t="s">
        <v>2156</v>
      </c>
      <c r="S595" s="428" t="s">
        <v>47</v>
      </c>
      <c r="T595" s="243" t="s">
        <v>4727</v>
      </c>
      <c r="U595" s="86"/>
      <c r="V595" s="86"/>
      <c r="W595" s="86"/>
      <c r="X595" s="86"/>
      <c r="Y595" s="86">
        <f>1950-530</f>
        <v>1420</v>
      </c>
      <c r="Z595" s="86">
        <f>1950-230</f>
        <v>1720</v>
      </c>
      <c r="AA595" s="86" t="s">
        <v>85</v>
      </c>
      <c r="AB595" s="86" t="s">
        <v>85</v>
      </c>
      <c r="AC595" s="86">
        <v>3</v>
      </c>
      <c r="AD595" s="92" t="s">
        <v>4730</v>
      </c>
      <c r="AE595" s="52" t="s">
        <v>4726</v>
      </c>
      <c r="AF595" s="52" t="s">
        <v>37</v>
      </c>
      <c r="AG595" s="745">
        <v>44218</v>
      </c>
      <c r="AH595" s="52"/>
      <c r="AI595" s="86"/>
      <c r="AJ595" s="1108"/>
    </row>
    <row r="596" spans="1:36" ht="102.75" x14ac:dyDescent="0.25">
      <c r="A596" s="524" t="s">
        <v>5283</v>
      </c>
      <c r="B596" s="81" t="s">
        <v>5194</v>
      </c>
      <c r="C596" s="491">
        <v>379</v>
      </c>
      <c r="D596" s="81" t="s">
        <v>52</v>
      </c>
      <c r="E596" s="81" t="s">
        <v>53</v>
      </c>
      <c r="F596" s="491"/>
      <c r="G596" s="491"/>
      <c r="H596" s="491"/>
      <c r="I596" s="491"/>
      <c r="J596" s="29"/>
      <c r="K596" s="786">
        <v>4073</v>
      </c>
      <c r="L596" s="58" t="s">
        <v>6676</v>
      </c>
      <c r="M596" s="983">
        <v>1908859.0112399999</v>
      </c>
      <c r="N596" s="983">
        <v>5577502.1897499999</v>
      </c>
      <c r="O596" s="491" t="s">
        <v>6677</v>
      </c>
      <c r="P596" s="491">
        <v>4</v>
      </c>
      <c r="Q596" s="58" t="s">
        <v>7935</v>
      </c>
      <c r="R596" s="718" t="s">
        <v>85</v>
      </c>
      <c r="S596" s="656" t="s">
        <v>47</v>
      </c>
      <c r="T596" s="340" t="s">
        <v>6678</v>
      </c>
      <c r="U596" s="31"/>
      <c r="V596" s="31"/>
      <c r="W596" s="31"/>
      <c r="X596" s="31"/>
      <c r="Y596" s="31">
        <v>2370</v>
      </c>
      <c r="Z596" s="31">
        <v>2750</v>
      </c>
      <c r="AA596" s="31" t="s">
        <v>85</v>
      </c>
      <c r="AB596" s="31" t="s">
        <v>85</v>
      </c>
      <c r="AC596" s="31">
        <v>3</v>
      </c>
      <c r="AD596" s="40" t="s">
        <v>6679</v>
      </c>
      <c r="AE596" s="40" t="s">
        <v>6328</v>
      </c>
      <c r="AF596" s="40" t="s">
        <v>6372</v>
      </c>
      <c r="AG596" s="744">
        <v>44260</v>
      </c>
      <c r="AH596" s="40"/>
      <c r="AI596" s="744">
        <v>44326</v>
      </c>
      <c r="AJ596" s="652" t="s">
        <v>37</v>
      </c>
    </row>
    <row r="597" spans="1:36" ht="51.75" x14ac:dyDescent="0.25">
      <c r="A597" s="736"/>
      <c r="B597" s="787"/>
      <c r="C597" s="720"/>
      <c r="D597" s="787"/>
      <c r="E597" s="787"/>
      <c r="F597" s="720"/>
      <c r="G597" s="720"/>
      <c r="H597" s="720"/>
      <c r="I597" s="720"/>
      <c r="J597" s="639"/>
      <c r="K597" s="788"/>
      <c r="L597" s="60"/>
      <c r="M597" s="984"/>
      <c r="N597" s="984"/>
      <c r="O597" s="502"/>
      <c r="P597" s="502"/>
      <c r="Q597" s="60"/>
      <c r="R597" s="722"/>
      <c r="S597" s="658" t="s">
        <v>91</v>
      </c>
      <c r="T597" s="179" t="s">
        <v>6680</v>
      </c>
      <c r="U597" s="24"/>
      <c r="V597" s="24">
        <v>10150</v>
      </c>
      <c r="W597" s="24">
        <v>10900</v>
      </c>
      <c r="X597" s="24"/>
      <c r="Y597" s="24">
        <v>2370</v>
      </c>
      <c r="Z597" s="24">
        <v>2750</v>
      </c>
      <c r="AA597" s="24" t="s">
        <v>85</v>
      </c>
      <c r="AB597" s="24" t="s">
        <v>16</v>
      </c>
      <c r="AC597" s="24">
        <v>3</v>
      </c>
      <c r="AD597" s="46" t="s">
        <v>6681</v>
      </c>
      <c r="AE597" s="46" t="s">
        <v>6328</v>
      </c>
      <c r="AF597" s="46" t="s">
        <v>6372</v>
      </c>
      <c r="AG597" s="746">
        <v>44260</v>
      </c>
      <c r="AH597" s="46"/>
      <c r="AI597" s="746">
        <v>44326</v>
      </c>
      <c r="AJ597" s="1107" t="s">
        <v>37</v>
      </c>
    </row>
    <row r="598" spans="1:36" ht="52.5" thickBot="1" x14ac:dyDescent="0.3">
      <c r="A598" s="736"/>
      <c r="B598" s="787"/>
      <c r="C598" s="720"/>
      <c r="D598" s="787"/>
      <c r="E598" s="787"/>
      <c r="F598" s="720"/>
      <c r="G598" s="720"/>
      <c r="H598" s="720"/>
      <c r="I598" s="720"/>
      <c r="J598" s="639"/>
      <c r="K598" s="789"/>
      <c r="L598" s="62"/>
      <c r="M598" s="985"/>
      <c r="N598" s="985"/>
      <c r="O598" s="504"/>
      <c r="P598" s="504"/>
      <c r="Q598" s="62"/>
      <c r="R598" s="725"/>
      <c r="S598" s="657" t="s">
        <v>92</v>
      </c>
      <c r="T598" s="335" t="s">
        <v>6680</v>
      </c>
      <c r="U598" s="25"/>
      <c r="V598" s="25">
        <v>10150</v>
      </c>
      <c r="W598" s="25">
        <v>10900</v>
      </c>
      <c r="X598" s="25"/>
      <c r="Y598" s="25">
        <v>2370</v>
      </c>
      <c r="Z598" s="25">
        <v>2750</v>
      </c>
      <c r="AA598" s="25" t="s">
        <v>85</v>
      </c>
      <c r="AB598" s="25" t="s">
        <v>16</v>
      </c>
      <c r="AC598" s="25">
        <v>3</v>
      </c>
      <c r="AD598" s="52" t="s">
        <v>6681</v>
      </c>
      <c r="AE598" s="52" t="s">
        <v>6328</v>
      </c>
      <c r="AF598" s="52" t="s">
        <v>6372</v>
      </c>
      <c r="AG598" s="745">
        <v>44260</v>
      </c>
      <c r="AH598" s="52"/>
      <c r="AI598" s="745">
        <v>44326</v>
      </c>
      <c r="AJ598" s="653" t="s">
        <v>37</v>
      </c>
    </row>
    <row r="599" spans="1:36" ht="102.75" x14ac:dyDescent="0.25">
      <c r="A599" s="736"/>
      <c r="B599" s="787"/>
      <c r="C599" s="720"/>
      <c r="D599" s="787"/>
      <c r="E599" s="787"/>
      <c r="F599" s="720"/>
      <c r="G599" s="720"/>
      <c r="H599" s="720"/>
      <c r="I599" s="720"/>
      <c r="J599" s="639"/>
      <c r="K599" s="788">
        <v>4074</v>
      </c>
      <c r="L599" s="60" t="s">
        <v>6684</v>
      </c>
      <c r="M599" s="984">
        <v>1908792.4771100001</v>
      </c>
      <c r="N599" s="984">
        <v>5577428.3836899996</v>
      </c>
      <c r="O599" s="502" t="s">
        <v>6677</v>
      </c>
      <c r="P599" s="502">
        <v>4</v>
      </c>
      <c r="Q599" s="60" t="s">
        <v>7935</v>
      </c>
      <c r="R599" s="722" t="s">
        <v>85</v>
      </c>
      <c r="S599" s="658" t="s">
        <v>47</v>
      </c>
      <c r="T599" s="179" t="s">
        <v>6678</v>
      </c>
      <c r="U599" s="24"/>
      <c r="V599" s="24"/>
      <c r="W599" s="24"/>
      <c r="X599" s="24"/>
      <c r="Y599" s="24">
        <v>2370</v>
      </c>
      <c r="Z599" s="24">
        <v>2750</v>
      </c>
      <c r="AA599" s="24" t="s">
        <v>85</v>
      </c>
      <c r="AB599" s="24" t="s">
        <v>16</v>
      </c>
      <c r="AC599" s="24">
        <v>3</v>
      </c>
      <c r="AD599" s="46" t="s">
        <v>6679</v>
      </c>
      <c r="AE599" s="46" t="s">
        <v>6328</v>
      </c>
      <c r="AF599" s="46" t="s">
        <v>6372</v>
      </c>
      <c r="AG599" s="746">
        <v>44260</v>
      </c>
      <c r="AH599" s="46"/>
      <c r="AI599" s="746">
        <v>44326</v>
      </c>
      <c r="AJ599" s="1107" t="s">
        <v>37</v>
      </c>
    </row>
    <row r="600" spans="1:36" ht="51.75" x14ac:dyDescent="0.25">
      <c r="A600" s="736"/>
      <c r="B600" s="787"/>
      <c r="C600" s="720"/>
      <c r="D600" s="787"/>
      <c r="E600" s="787"/>
      <c r="F600" s="720"/>
      <c r="G600" s="720"/>
      <c r="H600" s="720"/>
      <c r="I600" s="720"/>
      <c r="J600" s="639"/>
      <c r="K600" s="788"/>
      <c r="L600" s="60"/>
      <c r="M600" s="984"/>
      <c r="N600" s="984"/>
      <c r="O600" s="502"/>
      <c r="P600" s="502"/>
      <c r="Q600" s="60"/>
      <c r="R600" s="722"/>
      <c r="S600" s="658" t="s">
        <v>91</v>
      </c>
      <c r="T600" s="179" t="s">
        <v>6680</v>
      </c>
      <c r="U600" s="24"/>
      <c r="V600" s="24">
        <v>10150</v>
      </c>
      <c r="W600" s="24">
        <v>10900</v>
      </c>
      <c r="X600" s="24"/>
      <c r="Y600" s="24">
        <v>2370</v>
      </c>
      <c r="Z600" s="24">
        <v>2750</v>
      </c>
      <c r="AA600" s="24" t="s">
        <v>85</v>
      </c>
      <c r="AB600" s="24" t="s">
        <v>16</v>
      </c>
      <c r="AC600" s="24">
        <v>3</v>
      </c>
      <c r="AD600" s="46" t="s">
        <v>6681</v>
      </c>
      <c r="AE600" s="46" t="s">
        <v>6328</v>
      </c>
      <c r="AF600" s="46" t="s">
        <v>6372</v>
      </c>
      <c r="AG600" s="746">
        <v>44260</v>
      </c>
      <c r="AH600" s="46"/>
      <c r="AI600" s="746">
        <v>44326</v>
      </c>
      <c r="AJ600" s="1107" t="s">
        <v>37</v>
      </c>
    </row>
    <row r="601" spans="1:36" ht="51.75" x14ac:dyDescent="0.25">
      <c r="A601" s="736"/>
      <c r="B601" s="787"/>
      <c r="C601" s="720"/>
      <c r="D601" s="787"/>
      <c r="E601" s="787"/>
      <c r="F601" s="720"/>
      <c r="G601" s="720"/>
      <c r="H601" s="720"/>
      <c r="I601" s="720"/>
      <c r="J601" s="639"/>
      <c r="K601" s="788"/>
      <c r="L601" s="60"/>
      <c r="M601" s="984"/>
      <c r="N601" s="984"/>
      <c r="O601" s="502"/>
      <c r="P601" s="502"/>
      <c r="Q601" s="60"/>
      <c r="R601" s="722"/>
      <c r="S601" s="658" t="s">
        <v>92</v>
      </c>
      <c r="T601" s="179" t="s">
        <v>6680</v>
      </c>
      <c r="U601" s="24"/>
      <c r="V601" s="24">
        <v>10150</v>
      </c>
      <c r="W601" s="24">
        <v>10900</v>
      </c>
      <c r="X601" s="24"/>
      <c r="Y601" s="24">
        <v>2370</v>
      </c>
      <c r="Z601" s="24">
        <v>2750</v>
      </c>
      <c r="AA601" s="24" t="s">
        <v>85</v>
      </c>
      <c r="AB601" s="24" t="s">
        <v>16</v>
      </c>
      <c r="AC601" s="24">
        <v>3</v>
      </c>
      <c r="AD601" s="46" t="s">
        <v>6681</v>
      </c>
      <c r="AE601" s="46" t="s">
        <v>6328</v>
      </c>
      <c r="AF601" s="46" t="s">
        <v>6372</v>
      </c>
      <c r="AG601" s="746">
        <v>44260</v>
      </c>
      <c r="AH601" s="46"/>
      <c r="AI601" s="746">
        <v>44326</v>
      </c>
      <c r="AJ601" s="1107" t="s">
        <v>37</v>
      </c>
    </row>
    <row r="602" spans="1:36" ht="154.5" thickBot="1" x14ac:dyDescent="0.3">
      <c r="A602" s="736"/>
      <c r="B602" s="787"/>
      <c r="C602" s="720"/>
      <c r="D602" s="787"/>
      <c r="E602" s="787"/>
      <c r="F602" s="720"/>
      <c r="G602" s="720"/>
      <c r="H602" s="720"/>
      <c r="I602" s="720"/>
      <c r="J602" s="639"/>
      <c r="K602" s="789"/>
      <c r="L602" s="62"/>
      <c r="M602" s="985"/>
      <c r="N602" s="985"/>
      <c r="O602" s="504"/>
      <c r="P602" s="504"/>
      <c r="Q602" s="62"/>
      <c r="R602" s="725"/>
      <c r="S602" s="657" t="s">
        <v>99</v>
      </c>
      <c r="T602" s="335" t="s">
        <v>6682</v>
      </c>
      <c r="U602" s="25">
        <v>25000</v>
      </c>
      <c r="V602" s="25"/>
      <c r="W602" s="25"/>
      <c r="X602" s="25">
        <v>12000</v>
      </c>
      <c r="Y602" s="25"/>
      <c r="Z602" s="25"/>
      <c r="AA602" s="25" t="s">
        <v>16</v>
      </c>
      <c r="AB602" s="25" t="s">
        <v>16</v>
      </c>
      <c r="AC602" s="25">
        <v>2</v>
      </c>
      <c r="AD602" s="52" t="s">
        <v>6683</v>
      </c>
      <c r="AE602" s="52" t="s">
        <v>6328</v>
      </c>
      <c r="AF602" s="52" t="s">
        <v>6372</v>
      </c>
      <c r="AG602" s="745">
        <v>44260</v>
      </c>
      <c r="AH602" s="52"/>
      <c r="AI602" s="745">
        <v>44326</v>
      </c>
      <c r="AJ602" s="653" t="s">
        <v>37</v>
      </c>
    </row>
    <row r="603" spans="1:36" ht="90" x14ac:dyDescent="0.25">
      <c r="A603" s="736"/>
      <c r="B603" s="787"/>
      <c r="C603" s="720"/>
      <c r="D603" s="787"/>
      <c r="E603" s="787"/>
      <c r="F603" s="720"/>
      <c r="G603" s="720"/>
      <c r="H603" s="720"/>
      <c r="I603" s="720"/>
      <c r="J603" s="639"/>
      <c r="K603" s="786">
        <v>4075</v>
      </c>
      <c r="L603" s="58" t="s">
        <v>6685</v>
      </c>
      <c r="M603" s="983">
        <v>1915104.3990100001</v>
      </c>
      <c r="N603" s="983">
        <v>5588755.8402800001</v>
      </c>
      <c r="O603" s="491" t="s">
        <v>6686</v>
      </c>
      <c r="P603" s="491">
        <v>4</v>
      </c>
      <c r="Q603" s="58" t="s">
        <v>7936</v>
      </c>
      <c r="R603" s="718" t="s">
        <v>85</v>
      </c>
      <c r="S603" s="656" t="s">
        <v>47</v>
      </c>
      <c r="T603" s="340" t="s">
        <v>6687</v>
      </c>
      <c r="U603" s="31">
        <v>1700</v>
      </c>
      <c r="V603" s="31"/>
      <c r="W603" s="31"/>
      <c r="X603" s="31"/>
      <c r="Y603" s="31"/>
      <c r="Z603" s="31"/>
      <c r="AA603" s="31" t="s">
        <v>85</v>
      </c>
      <c r="AB603" s="31" t="s">
        <v>16</v>
      </c>
      <c r="AC603" s="31">
        <v>3</v>
      </c>
      <c r="AD603" s="40" t="s">
        <v>6688</v>
      </c>
      <c r="AE603" s="40" t="s">
        <v>6328</v>
      </c>
      <c r="AF603" s="40" t="s">
        <v>6372</v>
      </c>
      <c r="AG603" s="744">
        <v>44260</v>
      </c>
      <c r="AH603" s="40"/>
      <c r="AI603" s="744">
        <v>44326</v>
      </c>
      <c r="AJ603" s="652" t="s">
        <v>37</v>
      </c>
    </row>
    <row r="604" spans="1:36" ht="51.75" x14ac:dyDescent="0.25">
      <c r="A604" s="736"/>
      <c r="B604" s="787"/>
      <c r="C604" s="720"/>
      <c r="D604" s="787"/>
      <c r="E604" s="787"/>
      <c r="F604" s="720"/>
      <c r="G604" s="720"/>
      <c r="H604" s="720"/>
      <c r="I604" s="720"/>
      <c r="J604" s="639"/>
      <c r="K604" s="788"/>
      <c r="L604" s="60"/>
      <c r="M604" s="984"/>
      <c r="N604" s="984"/>
      <c r="O604" s="502"/>
      <c r="P604" s="502"/>
      <c r="Q604" s="60"/>
      <c r="R604" s="722"/>
      <c r="S604" s="658" t="s">
        <v>91</v>
      </c>
      <c r="T604" s="179" t="s">
        <v>6689</v>
      </c>
      <c r="U604" s="24">
        <v>25000</v>
      </c>
      <c r="V604" s="24"/>
      <c r="W604" s="24"/>
      <c r="X604" s="24">
        <v>17000</v>
      </c>
      <c r="Y604" s="24"/>
      <c r="Z604" s="24"/>
      <c r="AA604" s="24" t="s">
        <v>85</v>
      </c>
      <c r="AB604" s="24" t="s">
        <v>10</v>
      </c>
      <c r="AC604" s="24">
        <v>3</v>
      </c>
      <c r="AD604" s="46" t="s">
        <v>6690</v>
      </c>
      <c r="AE604" s="46" t="s">
        <v>6328</v>
      </c>
      <c r="AF604" s="46" t="s">
        <v>6372</v>
      </c>
      <c r="AG604" s="746">
        <v>44260</v>
      </c>
      <c r="AH604" s="46"/>
      <c r="AI604" s="746">
        <v>44326</v>
      </c>
      <c r="AJ604" s="1107" t="s">
        <v>37</v>
      </c>
    </row>
    <row r="605" spans="1:36" ht="51.75" x14ac:dyDescent="0.25">
      <c r="A605" s="736"/>
      <c r="B605" s="787"/>
      <c r="C605" s="720"/>
      <c r="D605" s="787"/>
      <c r="E605" s="787"/>
      <c r="F605" s="720"/>
      <c r="G605" s="720"/>
      <c r="H605" s="720"/>
      <c r="I605" s="720"/>
      <c r="J605" s="639"/>
      <c r="K605" s="788"/>
      <c r="L605" s="60"/>
      <c r="M605" s="984"/>
      <c r="N605" s="984"/>
      <c r="O605" s="502"/>
      <c r="P605" s="502"/>
      <c r="Q605" s="60"/>
      <c r="R605" s="722"/>
      <c r="S605" s="658" t="s">
        <v>92</v>
      </c>
      <c r="T605" s="179" t="s">
        <v>6689</v>
      </c>
      <c r="U605" s="24">
        <v>25000</v>
      </c>
      <c r="V605" s="24"/>
      <c r="W605" s="24"/>
      <c r="X605" s="24">
        <v>17000</v>
      </c>
      <c r="Y605" s="24"/>
      <c r="Z605" s="24"/>
      <c r="AA605" s="24" t="s">
        <v>85</v>
      </c>
      <c r="AB605" s="24" t="s">
        <v>10</v>
      </c>
      <c r="AC605" s="24">
        <v>3</v>
      </c>
      <c r="AD605" s="46" t="s">
        <v>6690</v>
      </c>
      <c r="AE605" s="46" t="s">
        <v>6328</v>
      </c>
      <c r="AF605" s="46" t="s">
        <v>6372</v>
      </c>
      <c r="AG605" s="746">
        <v>44260</v>
      </c>
      <c r="AH605" s="46"/>
      <c r="AI605" s="746">
        <v>44326</v>
      </c>
      <c r="AJ605" s="1107" t="s">
        <v>37</v>
      </c>
    </row>
    <row r="606" spans="1:36" ht="78" thickBot="1" x14ac:dyDescent="0.3">
      <c r="A606" s="736"/>
      <c r="B606" s="787"/>
      <c r="C606" s="720"/>
      <c r="D606" s="787"/>
      <c r="E606" s="787"/>
      <c r="F606" s="720"/>
      <c r="G606" s="720"/>
      <c r="H606" s="720"/>
      <c r="I606" s="720"/>
      <c r="J606" s="639"/>
      <c r="K606" s="789"/>
      <c r="L606" s="62"/>
      <c r="M606" s="985"/>
      <c r="N606" s="985"/>
      <c r="O606" s="504"/>
      <c r="P606" s="504"/>
      <c r="Q606" s="62"/>
      <c r="R606" s="725"/>
      <c r="S606" s="657" t="s">
        <v>99</v>
      </c>
      <c r="T606" s="335" t="s">
        <v>6637</v>
      </c>
      <c r="U606" s="25">
        <v>25000</v>
      </c>
      <c r="V606" s="25"/>
      <c r="W606" s="25"/>
      <c r="X606" s="25"/>
      <c r="Y606" s="25"/>
      <c r="Z606" s="25"/>
      <c r="AA606" s="25" t="s">
        <v>85</v>
      </c>
      <c r="AB606" s="25" t="s">
        <v>16</v>
      </c>
      <c r="AC606" s="25">
        <v>3</v>
      </c>
      <c r="AD606" s="52" t="s">
        <v>6691</v>
      </c>
      <c r="AE606" s="52" t="s">
        <v>6328</v>
      </c>
      <c r="AF606" s="52" t="s">
        <v>6372</v>
      </c>
      <c r="AG606" s="745">
        <v>44260</v>
      </c>
      <c r="AH606" s="52"/>
      <c r="AI606" s="745">
        <v>44326</v>
      </c>
      <c r="AJ606" s="653" t="s">
        <v>37</v>
      </c>
    </row>
    <row r="607" spans="1:36" ht="64.5" x14ac:dyDescent="0.25">
      <c r="A607" s="736"/>
      <c r="B607" s="787"/>
      <c r="C607" s="720"/>
      <c r="D607" s="787"/>
      <c r="E607" s="787"/>
      <c r="F607" s="720"/>
      <c r="G607" s="720"/>
      <c r="H607" s="720"/>
      <c r="I607" s="720"/>
      <c r="J607" s="639"/>
      <c r="K607" s="788">
        <v>4076</v>
      </c>
      <c r="L607" s="721" t="s">
        <v>6692</v>
      </c>
      <c r="M607" s="986">
        <v>1920472.5778999999</v>
      </c>
      <c r="N607" s="986">
        <v>5593516.5093999999</v>
      </c>
      <c r="O607" s="720" t="s">
        <v>6693</v>
      </c>
      <c r="P607" s="986">
        <v>4</v>
      </c>
      <c r="Q607" s="721" t="s">
        <v>7937</v>
      </c>
      <c r="R607" s="722"/>
      <c r="S607" s="656" t="s">
        <v>47</v>
      </c>
      <c r="T607" s="340" t="s">
        <v>6694</v>
      </c>
      <c r="U607" s="31">
        <v>19</v>
      </c>
      <c r="V607" s="31"/>
      <c r="W607" s="31"/>
      <c r="X607" s="31">
        <v>19</v>
      </c>
      <c r="Y607" s="31"/>
      <c r="Z607" s="31"/>
      <c r="AA607" s="31" t="s">
        <v>10</v>
      </c>
      <c r="AB607" s="31" t="s">
        <v>10</v>
      </c>
      <c r="AC607" s="31">
        <v>1</v>
      </c>
      <c r="AD607" s="40" t="s">
        <v>7907</v>
      </c>
      <c r="AE607" s="40" t="s">
        <v>6328</v>
      </c>
      <c r="AF607" s="40" t="s">
        <v>6372</v>
      </c>
      <c r="AG607" s="744">
        <v>44260</v>
      </c>
      <c r="AH607" s="40"/>
      <c r="AI607" s="744">
        <v>44326</v>
      </c>
      <c r="AJ607" s="652" t="s">
        <v>37</v>
      </c>
    </row>
    <row r="608" spans="1:36" ht="102.75" x14ac:dyDescent="0.25">
      <c r="A608" s="736"/>
      <c r="B608" s="787"/>
      <c r="C608" s="720"/>
      <c r="D608" s="787"/>
      <c r="E608" s="787"/>
      <c r="F608" s="720"/>
      <c r="G608" s="720"/>
      <c r="H608" s="720"/>
      <c r="I608" s="720"/>
      <c r="J608" s="639"/>
      <c r="K608" s="788"/>
      <c r="L608" s="721"/>
      <c r="M608" s="986"/>
      <c r="N608" s="986"/>
      <c r="O608" s="720"/>
      <c r="P608" s="720"/>
      <c r="Q608" s="721"/>
      <c r="R608" s="722"/>
      <c r="S608" s="658" t="s">
        <v>91</v>
      </c>
      <c r="T608" s="179" t="s">
        <v>6695</v>
      </c>
      <c r="U608" s="24">
        <v>12000</v>
      </c>
      <c r="V608" s="24"/>
      <c r="W608" s="24"/>
      <c r="X608" s="24">
        <v>190</v>
      </c>
      <c r="Y608" s="24"/>
      <c r="Z608" s="24"/>
      <c r="AA608" s="24" t="s">
        <v>85</v>
      </c>
      <c r="AB608" s="24" t="s">
        <v>85</v>
      </c>
      <c r="AC608" s="24">
        <v>3</v>
      </c>
      <c r="AD608" s="46" t="s">
        <v>6696</v>
      </c>
      <c r="AE608" s="46" t="s">
        <v>6328</v>
      </c>
      <c r="AF608" s="46" t="s">
        <v>6372</v>
      </c>
      <c r="AG608" s="746">
        <v>44260</v>
      </c>
      <c r="AH608" s="46"/>
      <c r="AI608" s="746">
        <v>44326</v>
      </c>
      <c r="AJ608" s="1107" t="s">
        <v>37</v>
      </c>
    </row>
    <row r="609" spans="1:36" ht="90" x14ac:dyDescent="0.25">
      <c r="A609" s="736"/>
      <c r="B609" s="787"/>
      <c r="C609" s="720"/>
      <c r="D609" s="787"/>
      <c r="E609" s="787"/>
      <c r="F609" s="720"/>
      <c r="G609" s="720"/>
      <c r="H609" s="720"/>
      <c r="I609" s="720"/>
      <c r="J609" s="639"/>
      <c r="K609" s="788"/>
      <c r="L609" s="721"/>
      <c r="M609" s="986"/>
      <c r="N609" s="986"/>
      <c r="O609" s="720"/>
      <c r="P609" s="720"/>
      <c r="Q609" s="721"/>
      <c r="R609" s="722"/>
      <c r="S609" s="658" t="s">
        <v>92</v>
      </c>
      <c r="T609" s="179" t="s">
        <v>6697</v>
      </c>
      <c r="U609" s="24">
        <v>25000</v>
      </c>
      <c r="V609" s="24"/>
      <c r="W609" s="24"/>
      <c r="X609" s="24">
        <v>12000</v>
      </c>
      <c r="Y609" s="24"/>
      <c r="Z609" s="24"/>
      <c r="AA609" s="24" t="s">
        <v>85</v>
      </c>
      <c r="AB609" s="24" t="s">
        <v>85</v>
      </c>
      <c r="AC609" s="24">
        <v>3</v>
      </c>
      <c r="AD609" s="46" t="s">
        <v>6698</v>
      </c>
      <c r="AE609" s="46" t="s">
        <v>6328</v>
      </c>
      <c r="AF609" s="46" t="s">
        <v>6372</v>
      </c>
      <c r="AG609" s="746">
        <v>44260</v>
      </c>
      <c r="AH609" s="46"/>
      <c r="AI609" s="746">
        <v>44326</v>
      </c>
      <c r="AJ609" s="1107" t="s">
        <v>37</v>
      </c>
    </row>
    <row r="610" spans="1:36" ht="65.25" thickBot="1" x14ac:dyDescent="0.3">
      <c r="A610" s="790"/>
      <c r="B610" s="777"/>
      <c r="C610" s="504"/>
      <c r="D610" s="777"/>
      <c r="E610" s="777"/>
      <c r="F610" s="504"/>
      <c r="G610" s="504"/>
      <c r="H610" s="504"/>
      <c r="I610" s="504"/>
      <c r="J610" s="608"/>
      <c r="K610" s="789"/>
      <c r="L610" s="62"/>
      <c r="M610" s="985"/>
      <c r="N610" s="985"/>
      <c r="O610" s="504"/>
      <c r="P610" s="504"/>
      <c r="Q610" s="62"/>
      <c r="R610" s="725"/>
      <c r="S610" s="657" t="s">
        <v>6699</v>
      </c>
      <c r="T610" s="335" t="s">
        <v>6637</v>
      </c>
      <c r="U610" s="25">
        <v>25000</v>
      </c>
      <c r="V610" s="25"/>
      <c r="W610" s="25"/>
      <c r="X610" s="25"/>
      <c r="Y610" s="25"/>
      <c r="Z610" s="25"/>
      <c r="AA610" s="25" t="s">
        <v>85</v>
      </c>
      <c r="AB610" s="25" t="s">
        <v>85</v>
      </c>
      <c r="AC610" s="25">
        <v>3</v>
      </c>
      <c r="AD610" s="52" t="s">
        <v>6700</v>
      </c>
      <c r="AE610" s="52" t="s">
        <v>6328</v>
      </c>
      <c r="AF610" s="52" t="s">
        <v>6372</v>
      </c>
      <c r="AG610" s="745">
        <v>44260</v>
      </c>
      <c r="AH610" s="52"/>
      <c r="AI610" s="745">
        <v>44326</v>
      </c>
      <c r="AJ610" s="653" t="s">
        <v>37</v>
      </c>
    </row>
    <row r="611" spans="1:36" ht="90.75" thickBot="1" x14ac:dyDescent="0.3">
      <c r="A611" s="807" t="s">
        <v>1121</v>
      </c>
      <c r="B611" s="349" t="s">
        <v>1121</v>
      </c>
      <c r="C611" s="157">
        <v>241</v>
      </c>
      <c r="D611" s="592" t="s">
        <v>57</v>
      </c>
      <c r="E611" s="592"/>
      <c r="F611" s="159"/>
      <c r="G611" s="159"/>
      <c r="H611" s="157"/>
      <c r="I611" s="159"/>
      <c r="J611" s="450"/>
      <c r="K611" s="425">
        <v>4054</v>
      </c>
      <c r="L611" s="472" t="s">
        <v>6593</v>
      </c>
      <c r="M611" s="934">
        <v>1830917.535996</v>
      </c>
      <c r="N611" s="934">
        <v>5657641.7731799996</v>
      </c>
      <c r="O611" s="248" t="s">
        <v>41</v>
      </c>
      <c r="P611" s="248">
        <v>1</v>
      </c>
      <c r="Q611" s="472" t="s">
        <v>2156</v>
      </c>
      <c r="R611" s="427" t="s">
        <v>2156</v>
      </c>
      <c r="S611" s="683" t="s">
        <v>47</v>
      </c>
      <c r="T611" s="329" t="s">
        <v>6594</v>
      </c>
      <c r="U611" s="86">
        <v>20000</v>
      </c>
      <c r="V611" s="86"/>
      <c r="W611" s="86"/>
      <c r="X611" s="86"/>
      <c r="Y611" s="86"/>
      <c r="Z611" s="86"/>
      <c r="AA611" s="86" t="s">
        <v>16</v>
      </c>
      <c r="AB611" s="86" t="s">
        <v>16</v>
      </c>
      <c r="AC611" s="86">
        <v>2</v>
      </c>
      <c r="AD611" s="92" t="s">
        <v>6595</v>
      </c>
      <c r="AE611" s="92" t="s">
        <v>6630</v>
      </c>
      <c r="AF611" s="92" t="s">
        <v>6372</v>
      </c>
      <c r="AG611" s="743">
        <v>44257</v>
      </c>
      <c r="AH611" s="92"/>
      <c r="AI611" s="743">
        <v>44326</v>
      </c>
      <c r="AJ611" s="1108" t="s">
        <v>37</v>
      </c>
    </row>
    <row r="612" spans="1:36" ht="90" x14ac:dyDescent="0.25">
      <c r="A612" s="808"/>
      <c r="B612" s="474"/>
      <c r="C612" s="436"/>
      <c r="D612" s="576"/>
      <c r="E612" s="576"/>
      <c r="F612" s="583"/>
      <c r="G612" s="583"/>
      <c r="H612" s="436"/>
      <c r="I612" s="583"/>
      <c r="J612" s="423"/>
      <c r="K612" s="193">
        <v>4055</v>
      </c>
      <c r="L612" s="433" t="s">
        <v>6596</v>
      </c>
      <c r="M612" s="924">
        <v>1830545.3560570001</v>
      </c>
      <c r="N612" s="924">
        <v>5659705.9518769998</v>
      </c>
      <c r="O612" s="157" t="s">
        <v>41</v>
      </c>
      <c r="P612" s="157">
        <v>2</v>
      </c>
      <c r="Q612" s="433" t="s">
        <v>2156</v>
      </c>
      <c r="R612" s="160" t="s">
        <v>2156</v>
      </c>
      <c r="S612" s="656" t="s">
        <v>47</v>
      </c>
      <c r="T612" s="340" t="s">
        <v>6594</v>
      </c>
      <c r="U612" s="31">
        <v>20000</v>
      </c>
      <c r="V612" s="31"/>
      <c r="W612" s="31"/>
      <c r="X612" s="31"/>
      <c r="Y612" s="31"/>
      <c r="Z612" s="31"/>
      <c r="AA612" s="31" t="s">
        <v>16</v>
      </c>
      <c r="AB612" s="31" t="s">
        <v>16</v>
      </c>
      <c r="AC612" s="31">
        <v>2</v>
      </c>
      <c r="AD612" s="40" t="s">
        <v>6595</v>
      </c>
      <c r="AE612" s="40" t="s">
        <v>6630</v>
      </c>
      <c r="AF612" s="40" t="s">
        <v>6372</v>
      </c>
      <c r="AG612" s="744">
        <v>44257</v>
      </c>
      <c r="AH612" s="40"/>
      <c r="AI612" s="744">
        <v>44326</v>
      </c>
      <c r="AJ612" s="652" t="s">
        <v>37</v>
      </c>
    </row>
    <row r="613" spans="1:36" ht="65.25" thickBot="1" x14ac:dyDescent="0.3">
      <c r="A613" s="808"/>
      <c r="B613" s="474"/>
      <c r="C613" s="436"/>
      <c r="D613" s="576"/>
      <c r="E613" s="576"/>
      <c r="F613" s="583"/>
      <c r="G613" s="583"/>
      <c r="H613" s="436"/>
      <c r="I613" s="583"/>
      <c r="J613" s="423"/>
      <c r="K613" s="195"/>
      <c r="L613" s="435"/>
      <c r="M613" s="925"/>
      <c r="N613" s="925"/>
      <c r="O613" s="165"/>
      <c r="P613" s="165"/>
      <c r="Q613" s="435"/>
      <c r="R613" s="168"/>
      <c r="S613" s="657" t="s">
        <v>91</v>
      </c>
      <c r="T613" s="335" t="s">
        <v>6597</v>
      </c>
      <c r="U613" s="25">
        <v>128000</v>
      </c>
      <c r="V613" s="25"/>
      <c r="W613" s="25"/>
      <c r="X613" s="25"/>
      <c r="Y613" s="25"/>
      <c r="Z613" s="25"/>
      <c r="AA613" s="25" t="s">
        <v>16</v>
      </c>
      <c r="AB613" s="25" t="s">
        <v>16</v>
      </c>
      <c r="AC613" s="25">
        <v>2</v>
      </c>
      <c r="AD613" s="52" t="s">
        <v>6598</v>
      </c>
      <c r="AE613" s="52" t="s">
        <v>6630</v>
      </c>
      <c r="AF613" s="52" t="s">
        <v>6372</v>
      </c>
      <c r="AG613" s="745">
        <v>44257</v>
      </c>
      <c r="AH613" s="52"/>
      <c r="AI613" s="745">
        <v>44326</v>
      </c>
      <c r="AJ613" s="653" t="s">
        <v>37</v>
      </c>
    </row>
    <row r="614" spans="1:36" ht="90" x14ac:dyDescent="0.25">
      <c r="A614" s="808"/>
      <c r="B614" s="474"/>
      <c r="C614" s="436"/>
      <c r="D614" s="576"/>
      <c r="E614" s="576"/>
      <c r="F614" s="583"/>
      <c r="G614" s="583"/>
      <c r="H614" s="436"/>
      <c r="I614" s="583"/>
      <c r="J614" s="423"/>
      <c r="K614" s="193">
        <v>4056</v>
      </c>
      <c r="L614" s="433" t="s">
        <v>6599</v>
      </c>
      <c r="M614" s="924">
        <v>1830632.0485729999</v>
      </c>
      <c r="N614" s="924">
        <v>5659980.9764099997</v>
      </c>
      <c r="O614" s="157" t="s">
        <v>41</v>
      </c>
      <c r="P614" s="157">
        <v>2</v>
      </c>
      <c r="Q614" s="433" t="s">
        <v>2156</v>
      </c>
      <c r="R614" s="160" t="s">
        <v>2156</v>
      </c>
      <c r="S614" s="656" t="s">
        <v>47</v>
      </c>
      <c r="T614" s="340" t="s">
        <v>6594</v>
      </c>
      <c r="U614" s="31">
        <v>20000</v>
      </c>
      <c r="V614" s="31"/>
      <c r="W614" s="31"/>
      <c r="X614" s="31"/>
      <c r="Y614" s="31"/>
      <c r="Z614" s="31"/>
      <c r="AA614" s="31" t="s">
        <v>16</v>
      </c>
      <c r="AB614" s="31" t="s">
        <v>16</v>
      </c>
      <c r="AC614" s="31">
        <v>2</v>
      </c>
      <c r="AD614" s="40" t="s">
        <v>6600</v>
      </c>
      <c r="AE614" s="40" t="s">
        <v>6630</v>
      </c>
      <c r="AF614" s="40" t="s">
        <v>6372</v>
      </c>
      <c r="AG614" s="744">
        <v>44257</v>
      </c>
      <c r="AH614" s="40"/>
      <c r="AI614" s="744">
        <v>44326</v>
      </c>
      <c r="AJ614" s="652" t="s">
        <v>37</v>
      </c>
    </row>
    <row r="615" spans="1:36" ht="78" thickBot="1" x14ac:dyDescent="0.3">
      <c r="A615" s="808"/>
      <c r="B615" s="474"/>
      <c r="C615" s="436"/>
      <c r="D615" s="576"/>
      <c r="E615" s="576"/>
      <c r="F615" s="583"/>
      <c r="G615" s="583"/>
      <c r="H615" s="436"/>
      <c r="I615" s="583"/>
      <c r="J615" s="423"/>
      <c r="K615" s="195"/>
      <c r="L615" s="435"/>
      <c r="M615" s="925"/>
      <c r="N615" s="925"/>
      <c r="O615" s="165"/>
      <c r="P615" s="165"/>
      <c r="Q615" s="435"/>
      <c r="R615" s="168"/>
      <c r="S615" s="657" t="s">
        <v>91</v>
      </c>
      <c r="T615" s="335" t="s">
        <v>6601</v>
      </c>
      <c r="U615" s="25">
        <v>60000</v>
      </c>
      <c r="V615" s="25"/>
      <c r="W615" s="25"/>
      <c r="X615" s="25"/>
      <c r="Y615" s="25"/>
      <c r="Z615" s="25"/>
      <c r="AA615" s="25" t="s">
        <v>16</v>
      </c>
      <c r="AB615" s="25" t="s">
        <v>16</v>
      </c>
      <c r="AC615" s="25">
        <v>2</v>
      </c>
      <c r="AD615" s="52" t="s">
        <v>6602</v>
      </c>
      <c r="AE615" s="52" t="s">
        <v>6630</v>
      </c>
      <c r="AF615" s="52" t="s">
        <v>6372</v>
      </c>
      <c r="AG615" s="745">
        <v>44257</v>
      </c>
      <c r="AH615" s="52"/>
      <c r="AI615" s="745">
        <v>44326</v>
      </c>
      <c r="AJ615" s="653" t="s">
        <v>37</v>
      </c>
    </row>
    <row r="616" spans="1:36" ht="77.25" x14ac:dyDescent="0.25">
      <c r="A616" s="808"/>
      <c r="B616" s="474"/>
      <c r="C616" s="436"/>
      <c r="D616" s="576"/>
      <c r="E616" s="576"/>
      <c r="F616" s="583"/>
      <c r="G616" s="583"/>
      <c r="H616" s="436"/>
      <c r="I616" s="583"/>
      <c r="J616" s="423"/>
      <c r="K616" s="193">
        <v>4057</v>
      </c>
      <c r="L616" s="433" t="s">
        <v>6603</v>
      </c>
      <c r="M616" s="924">
        <v>1831732.0532869999</v>
      </c>
      <c r="N616" s="924">
        <v>5660888.1650109999</v>
      </c>
      <c r="O616" s="157" t="s">
        <v>41</v>
      </c>
      <c r="P616" s="157">
        <v>2</v>
      </c>
      <c r="Q616" s="433" t="s">
        <v>2156</v>
      </c>
      <c r="R616" s="160" t="s">
        <v>2156</v>
      </c>
      <c r="S616" s="656" t="s">
        <v>47</v>
      </c>
      <c r="T616" s="340" t="s">
        <v>6601</v>
      </c>
      <c r="U616" s="31">
        <v>60000</v>
      </c>
      <c r="V616" s="31"/>
      <c r="W616" s="31"/>
      <c r="X616" s="31"/>
      <c r="Y616" s="31"/>
      <c r="Z616" s="31"/>
      <c r="AA616" s="31" t="s">
        <v>16</v>
      </c>
      <c r="AB616" s="31" t="s">
        <v>85</v>
      </c>
      <c r="AC616" s="31">
        <v>3</v>
      </c>
      <c r="AD616" s="40" t="s">
        <v>6604</v>
      </c>
      <c r="AE616" s="40" t="s">
        <v>6630</v>
      </c>
      <c r="AF616" s="40" t="s">
        <v>6372</v>
      </c>
      <c r="AG616" s="744">
        <v>44257</v>
      </c>
      <c r="AH616" s="40"/>
      <c r="AI616" s="744">
        <v>44326</v>
      </c>
      <c r="AJ616" s="652" t="s">
        <v>37</v>
      </c>
    </row>
    <row r="617" spans="1:36" ht="78" thickBot="1" x14ac:dyDescent="0.3">
      <c r="A617" s="808"/>
      <c r="B617" s="474"/>
      <c r="C617" s="436"/>
      <c r="D617" s="576"/>
      <c r="E617" s="576"/>
      <c r="F617" s="583"/>
      <c r="G617" s="583"/>
      <c r="H617" s="436"/>
      <c r="I617" s="583"/>
      <c r="J617" s="423"/>
      <c r="K617" s="195"/>
      <c r="L617" s="435"/>
      <c r="M617" s="925"/>
      <c r="N617" s="925"/>
      <c r="O617" s="165"/>
      <c r="P617" s="165"/>
      <c r="Q617" s="435"/>
      <c r="R617" s="168"/>
      <c r="S617" s="657" t="s">
        <v>91</v>
      </c>
      <c r="T617" s="335" t="s">
        <v>6605</v>
      </c>
      <c r="U617" s="25">
        <v>97000</v>
      </c>
      <c r="V617" s="25"/>
      <c r="W617" s="25"/>
      <c r="X617" s="25"/>
      <c r="Y617" s="25"/>
      <c r="Z617" s="25"/>
      <c r="AA617" s="25" t="s">
        <v>16</v>
      </c>
      <c r="AB617" s="25" t="s">
        <v>85</v>
      </c>
      <c r="AC617" s="25">
        <v>3</v>
      </c>
      <c r="AD617" s="52" t="s">
        <v>6606</v>
      </c>
      <c r="AE617" s="52" t="s">
        <v>6630</v>
      </c>
      <c r="AF617" s="52" t="s">
        <v>6372</v>
      </c>
      <c r="AG617" s="745">
        <v>44257</v>
      </c>
      <c r="AH617" s="52"/>
      <c r="AI617" s="745">
        <v>44326</v>
      </c>
      <c r="AJ617" s="653" t="s">
        <v>37</v>
      </c>
    </row>
    <row r="618" spans="1:36" ht="77.25" x14ac:dyDescent="0.25">
      <c r="A618" s="808"/>
      <c r="B618" s="474"/>
      <c r="C618" s="436"/>
      <c r="D618" s="576"/>
      <c r="E618" s="576"/>
      <c r="F618" s="583"/>
      <c r="G618" s="583"/>
      <c r="H618" s="436"/>
      <c r="I618" s="583"/>
      <c r="J618" s="423"/>
      <c r="K618" s="193">
        <v>4058</v>
      </c>
      <c r="L618" s="433" t="s">
        <v>6607</v>
      </c>
      <c r="M618" s="924">
        <v>1832615.0055839999</v>
      </c>
      <c r="N618" s="924">
        <v>5663152.2538000001</v>
      </c>
      <c r="O618" s="157" t="s">
        <v>41</v>
      </c>
      <c r="P618" s="157">
        <v>2</v>
      </c>
      <c r="Q618" s="433" t="s">
        <v>2156</v>
      </c>
      <c r="R618" s="160" t="s">
        <v>2156</v>
      </c>
      <c r="S618" s="656" t="s">
        <v>47</v>
      </c>
      <c r="T618" s="340" t="s">
        <v>6608</v>
      </c>
      <c r="U618" s="31">
        <v>15000</v>
      </c>
      <c r="V618" s="31"/>
      <c r="W618" s="31"/>
      <c r="X618" s="31"/>
      <c r="Y618" s="31"/>
      <c r="Z618" s="31"/>
      <c r="AA618" s="31" t="s">
        <v>16</v>
      </c>
      <c r="AB618" s="31" t="s">
        <v>85</v>
      </c>
      <c r="AC618" s="31">
        <v>3</v>
      </c>
      <c r="AD618" s="40" t="s">
        <v>6609</v>
      </c>
      <c r="AE618" s="40" t="s">
        <v>6630</v>
      </c>
      <c r="AF618" s="40" t="s">
        <v>6372</v>
      </c>
      <c r="AG618" s="744">
        <v>44257</v>
      </c>
      <c r="AH618" s="40"/>
      <c r="AI618" s="744">
        <v>44326</v>
      </c>
      <c r="AJ618" s="652" t="s">
        <v>37</v>
      </c>
    </row>
    <row r="619" spans="1:36" ht="90.75" thickBot="1" x14ac:dyDescent="0.3">
      <c r="A619" s="808"/>
      <c r="B619" s="474"/>
      <c r="C619" s="436"/>
      <c r="D619" s="576"/>
      <c r="E619" s="576"/>
      <c r="F619" s="583"/>
      <c r="G619" s="583"/>
      <c r="H619" s="436"/>
      <c r="I619" s="583"/>
      <c r="J619" s="423"/>
      <c r="K619" s="195"/>
      <c r="L619" s="435"/>
      <c r="M619" s="925"/>
      <c r="N619" s="925"/>
      <c r="O619" s="165"/>
      <c r="P619" s="165"/>
      <c r="Q619" s="435"/>
      <c r="R619" s="168"/>
      <c r="S619" s="657" t="s">
        <v>91</v>
      </c>
      <c r="T619" s="335" t="s">
        <v>6601</v>
      </c>
      <c r="U619" s="25">
        <v>60000</v>
      </c>
      <c r="V619" s="25"/>
      <c r="W619" s="25"/>
      <c r="X619" s="25"/>
      <c r="Y619" s="25"/>
      <c r="Z619" s="25"/>
      <c r="AA619" s="25" t="s">
        <v>16</v>
      </c>
      <c r="AB619" s="25" t="s">
        <v>85</v>
      </c>
      <c r="AC619" s="25">
        <v>3</v>
      </c>
      <c r="AD619" s="52" t="s">
        <v>6610</v>
      </c>
      <c r="AE619" s="52" t="s">
        <v>6630</v>
      </c>
      <c r="AF619" s="52" t="s">
        <v>6372</v>
      </c>
      <c r="AG619" s="745">
        <v>44257</v>
      </c>
      <c r="AH619" s="52"/>
      <c r="AI619" s="745">
        <v>44326</v>
      </c>
      <c r="AJ619" s="653" t="s">
        <v>37</v>
      </c>
    </row>
    <row r="620" spans="1:36" ht="77.25" x14ac:dyDescent="0.25">
      <c r="A620" s="808"/>
      <c r="B620" s="474"/>
      <c r="C620" s="436"/>
      <c r="D620" s="576"/>
      <c r="E620" s="576"/>
      <c r="F620" s="583"/>
      <c r="G620" s="583"/>
      <c r="H620" s="436"/>
      <c r="I620" s="583"/>
      <c r="J620" s="423"/>
      <c r="K620" s="193">
        <v>4059</v>
      </c>
      <c r="L620" s="433" t="s">
        <v>6611</v>
      </c>
      <c r="M620" s="924">
        <v>1833403.909741</v>
      </c>
      <c r="N620" s="924">
        <v>5664441.3218240002</v>
      </c>
      <c r="O620" s="157" t="s">
        <v>41</v>
      </c>
      <c r="P620" s="157">
        <v>3</v>
      </c>
      <c r="Q620" s="433" t="s">
        <v>2156</v>
      </c>
      <c r="R620" s="160" t="s">
        <v>2156</v>
      </c>
      <c r="S620" s="656" t="s">
        <v>47</v>
      </c>
      <c r="T620" s="340" t="s">
        <v>6612</v>
      </c>
      <c r="U620" s="31">
        <v>3000</v>
      </c>
      <c r="V620" s="31"/>
      <c r="W620" s="31"/>
      <c r="X620" s="31"/>
      <c r="Y620" s="31"/>
      <c r="Z620" s="31"/>
      <c r="AA620" s="31" t="s">
        <v>16</v>
      </c>
      <c r="AB620" s="31" t="s">
        <v>85</v>
      </c>
      <c r="AC620" s="31">
        <v>3</v>
      </c>
      <c r="AD620" s="40" t="s">
        <v>6613</v>
      </c>
      <c r="AE620" s="40" t="s">
        <v>6630</v>
      </c>
      <c r="AF620" s="40" t="s">
        <v>6372</v>
      </c>
      <c r="AG620" s="744">
        <v>44257</v>
      </c>
      <c r="AH620" s="40"/>
      <c r="AI620" s="744">
        <v>44326</v>
      </c>
      <c r="AJ620" s="652" t="s">
        <v>37</v>
      </c>
    </row>
    <row r="621" spans="1:36" ht="102.75" x14ac:dyDescent="0.25">
      <c r="A621" s="808"/>
      <c r="B621" s="474"/>
      <c r="C621" s="436"/>
      <c r="D621" s="576"/>
      <c r="E621" s="576"/>
      <c r="F621" s="583"/>
      <c r="G621" s="583"/>
      <c r="H621" s="436"/>
      <c r="I621" s="583"/>
      <c r="J621" s="423"/>
      <c r="K621" s="194"/>
      <c r="L621" s="434"/>
      <c r="M621" s="919"/>
      <c r="N621" s="919"/>
      <c r="O621" s="161"/>
      <c r="P621" s="161"/>
      <c r="Q621" s="434"/>
      <c r="R621" s="164"/>
      <c r="S621" s="658" t="s">
        <v>91</v>
      </c>
      <c r="T621" s="179" t="s">
        <v>6601</v>
      </c>
      <c r="U621" s="24">
        <v>60000</v>
      </c>
      <c r="V621" s="24"/>
      <c r="W621" s="24"/>
      <c r="X621" s="24"/>
      <c r="Y621" s="24"/>
      <c r="Z621" s="24"/>
      <c r="AA621" s="24" t="s">
        <v>16</v>
      </c>
      <c r="AB621" s="24" t="s">
        <v>85</v>
      </c>
      <c r="AC621" s="24">
        <v>3</v>
      </c>
      <c r="AD621" s="46" t="s">
        <v>6614</v>
      </c>
      <c r="AE621" s="46" t="s">
        <v>6630</v>
      </c>
      <c r="AF621" s="46" t="s">
        <v>6372</v>
      </c>
      <c r="AG621" s="746">
        <v>44257</v>
      </c>
      <c r="AH621" s="46"/>
      <c r="AI621" s="746">
        <v>44326</v>
      </c>
      <c r="AJ621" s="1107" t="s">
        <v>37</v>
      </c>
    </row>
    <row r="622" spans="1:36" ht="52.5" thickBot="1" x14ac:dyDescent="0.3">
      <c r="A622" s="808"/>
      <c r="B622" s="474"/>
      <c r="C622" s="436"/>
      <c r="D622" s="576"/>
      <c r="E622" s="576"/>
      <c r="F622" s="583"/>
      <c r="G622" s="583"/>
      <c r="H622" s="436"/>
      <c r="I622" s="583"/>
      <c r="J622" s="423"/>
      <c r="K622" s="195"/>
      <c r="L622" s="435"/>
      <c r="M622" s="925"/>
      <c r="N622" s="925"/>
      <c r="O622" s="165"/>
      <c r="P622" s="165"/>
      <c r="Q622" s="435"/>
      <c r="R622" s="168"/>
      <c r="S622" s="657" t="s">
        <v>6615</v>
      </c>
      <c r="T622" s="335" t="s">
        <v>6616</v>
      </c>
      <c r="U622" s="25">
        <v>110000</v>
      </c>
      <c r="V622" s="25"/>
      <c r="W622" s="25"/>
      <c r="X622" s="25"/>
      <c r="Y622" s="25"/>
      <c r="Z622" s="25"/>
      <c r="AA622" s="25" t="s">
        <v>16</v>
      </c>
      <c r="AB622" s="25" t="s">
        <v>85</v>
      </c>
      <c r="AC622" s="25">
        <v>3</v>
      </c>
      <c r="AD622" s="52" t="s">
        <v>6617</v>
      </c>
      <c r="AE622" s="52" t="s">
        <v>6630</v>
      </c>
      <c r="AF622" s="52" t="s">
        <v>6372</v>
      </c>
      <c r="AG622" s="745">
        <v>44257</v>
      </c>
      <c r="AH622" s="52"/>
      <c r="AI622" s="745">
        <v>44326</v>
      </c>
      <c r="AJ622" s="653" t="s">
        <v>37</v>
      </c>
    </row>
    <row r="623" spans="1:36" ht="90" x14ac:dyDescent="0.25">
      <c r="A623" s="808"/>
      <c r="B623" s="474"/>
      <c r="C623" s="436"/>
      <c r="D623" s="576"/>
      <c r="E623" s="576"/>
      <c r="F623" s="583"/>
      <c r="G623" s="583"/>
      <c r="H623" s="436"/>
      <c r="I623" s="583"/>
      <c r="J623" s="423"/>
      <c r="K623" s="193">
        <v>4060</v>
      </c>
      <c r="L623" s="433" t="s">
        <v>6618</v>
      </c>
      <c r="M623" s="924">
        <v>1834639.709059</v>
      </c>
      <c r="N623" s="924">
        <v>5665752.9416969996</v>
      </c>
      <c r="O623" s="157" t="s">
        <v>41</v>
      </c>
      <c r="P623" s="157">
        <v>2</v>
      </c>
      <c r="Q623" s="433" t="s">
        <v>2156</v>
      </c>
      <c r="R623" s="160" t="s">
        <v>2156</v>
      </c>
      <c r="S623" s="656" t="s">
        <v>47</v>
      </c>
      <c r="T623" s="340" t="s">
        <v>6594</v>
      </c>
      <c r="U623" s="31">
        <v>20000</v>
      </c>
      <c r="V623" s="31"/>
      <c r="W623" s="31"/>
      <c r="X623" s="31"/>
      <c r="Y623" s="31"/>
      <c r="Z623" s="31"/>
      <c r="AA623" s="31" t="s">
        <v>16</v>
      </c>
      <c r="AB623" s="31" t="s">
        <v>85</v>
      </c>
      <c r="AC623" s="31">
        <v>3</v>
      </c>
      <c r="AD623" s="40" t="s">
        <v>6619</v>
      </c>
      <c r="AE623" s="40" t="s">
        <v>6630</v>
      </c>
      <c r="AF623" s="40" t="s">
        <v>6372</v>
      </c>
      <c r="AG623" s="744">
        <v>44257</v>
      </c>
      <c r="AH623" s="40"/>
      <c r="AI623" s="744">
        <v>44326</v>
      </c>
      <c r="AJ623" s="652" t="s">
        <v>37</v>
      </c>
    </row>
    <row r="624" spans="1:36" ht="78" thickBot="1" x14ac:dyDescent="0.3">
      <c r="A624" s="808"/>
      <c r="B624" s="474"/>
      <c r="C624" s="436"/>
      <c r="D624" s="576"/>
      <c r="E624" s="576"/>
      <c r="F624" s="583"/>
      <c r="G624" s="583"/>
      <c r="H624" s="436"/>
      <c r="I624" s="583"/>
      <c r="J624" s="423"/>
      <c r="K624" s="195"/>
      <c r="L624" s="435"/>
      <c r="M624" s="925"/>
      <c r="N624" s="925"/>
      <c r="O624" s="165"/>
      <c r="P624" s="165"/>
      <c r="Q624" s="435"/>
      <c r="R624" s="168"/>
      <c r="S624" s="657" t="s">
        <v>91</v>
      </c>
      <c r="T624" s="335" t="s">
        <v>6601</v>
      </c>
      <c r="U624" s="25">
        <v>60000</v>
      </c>
      <c r="V624" s="25"/>
      <c r="W624" s="25"/>
      <c r="X624" s="25"/>
      <c r="Y624" s="25"/>
      <c r="Z624" s="25"/>
      <c r="AA624" s="25" t="s">
        <v>16</v>
      </c>
      <c r="AB624" s="25" t="s">
        <v>85</v>
      </c>
      <c r="AC624" s="25">
        <v>3</v>
      </c>
      <c r="AD624" s="52" t="s">
        <v>6620</v>
      </c>
      <c r="AE624" s="52" t="s">
        <v>6630</v>
      </c>
      <c r="AF624" s="52" t="s">
        <v>6372</v>
      </c>
      <c r="AG624" s="745">
        <v>44257</v>
      </c>
      <c r="AH624" s="52"/>
      <c r="AI624" s="745">
        <v>44326</v>
      </c>
      <c r="AJ624" s="653" t="s">
        <v>37</v>
      </c>
    </row>
    <row r="625" spans="1:36" ht="77.25" x14ac:dyDescent="0.25">
      <c r="A625" s="808"/>
      <c r="B625" s="474"/>
      <c r="C625" s="436"/>
      <c r="D625" s="576"/>
      <c r="E625" s="576"/>
      <c r="F625" s="583"/>
      <c r="G625" s="583"/>
      <c r="H625" s="436"/>
      <c r="I625" s="583"/>
      <c r="J625" s="423"/>
      <c r="K625" s="193">
        <v>4061</v>
      </c>
      <c r="L625" s="433" t="s">
        <v>6621</v>
      </c>
      <c r="M625" s="924">
        <v>1836092.661145</v>
      </c>
      <c r="N625" s="924">
        <v>5668979.9725099998</v>
      </c>
      <c r="O625" s="157" t="s">
        <v>41</v>
      </c>
      <c r="P625" s="157">
        <v>2</v>
      </c>
      <c r="Q625" s="433" t="s">
        <v>2156</v>
      </c>
      <c r="R625" s="160" t="s">
        <v>2156</v>
      </c>
      <c r="S625" s="656" t="s">
        <v>47</v>
      </c>
      <c r="T625" s="340" t="s">
        <v>6622</v>
      </c>
      <c r="U625" s="31">
        <v>17700</v>
      </c>
      <c r="V625" s="31"/>
      <c r="W625" s="31"/>
      <c r="X625" s="31"/>
      <c r="Y625" s="31"/>
      <c r="Z625" s="31"/>
      <c r="AA625" s="31" t="s">
        <v>16</v>
      </c>
      <c r="AB625" s="31" t="s">
        <v>85</v>
      </c>
      <c r="AC625" s="31">
        <v>3</v>
      </c>
      <c r="AD625" s="30" t="s">
        <v>6623</v>
      </c>
      <c r="AE625" s="40" t="s">
        <v>6630</v>
      </c>
      <c r="AF625" s="40" t="s">
        <v>6372</v>
      </c>
      <c r="AG625" s="744">
        <v>44257</v>
      </c>
      <c r="AH625" s="40"/>
      <c r="AI625" s="744">
        <v>44326</v>
      </c>
      <c r="AJ625" s="652" t="s">
        <v>37</v>
      </c>
    </row>
    <row r="626" spans="1:36" ht="78" thickBot="1" x14ac:dyDescent="0.3">
      <c r="A626" s="808"/>
      <c r="B626" s="474"/>
      <c r="C626" s="436"/>
      <c r="D626" s="576"/>
      <c r="E626" s="576"/>
      <c r="F626" s="583"/>
      <c r="G626" s="583"/>
      <c r="H626" s="436"/>
      <c r="I626" s="583"/>
      <c r="J626" s="423"/>
      <c r="K626" s="195"/>
      <c r="L626" s="435"/>
      <c r="M626" s="925"/>
      <c r="N626" s="925"/>
      <c r="O626" s="165"/>
      <c r="P626" s="165"/>
      <c r="Q626" s="435"/>
      <c r="R626" s="168"/>
      <c r="S626" s="657" t="s">
        <v>91</v>
      </c>
      <c r="T626" s="335" t="s">
        <v>6624</v>
      </c>
      <c r="U626" s="25">
        <v>100000</v>
      </c>
      <c r="V626" s="25"/>
      <c r="W626" s="25"/>
      <c r="X626" s="25"/>
      <c r="Y626" s="25"/>
      <c r="Z626" s="25"/>
      <c r="AA626" s="25" t="s">
        <v>16</v>
      </c>
      <c r="AB626" s="25" t="s">
        <v>85</v>
      </c>
      <c r="AC626" s="25">
        <v>3</v>
      </c>
      <c r="AD626" s="51" t="s">
        <v>6625</v>
      </c>
      <c r="AE626" s="52" t="s">
        <v>6630</v>
      </c>
      <c r="AF626" s="52" t="s">
        <v>6372</v>
      </c>
      <c r="AG626" s="745">
        <v>44257</v>
      </c>
      <c r="AH626" s="52"/>
      <c r="AI626" s="745">
        <v>44326</v>
      </c>
      <c r="AJ626" s="653" t="s">
        <v>37</v>
      </c>
    </row>
    <row r="627" spans="1:36" ht="77.25" x14ac:dyDescent="0.25">
      <c r="A627" s="808"/>
      <c r="B627" s="474"/>
      <c r="C627" s="436"/>
      <c r="D627" s="576"/>
      <c r="E627" s="576"/>
      <c r="F627" s="583"/>
      <c r="G627" s="583"/>
      <c r="H627" s="436"/>
      <c r="I627" s="583"/>
      <c r="J627" s="423"/>
      <c r="K627" s="193">
        <v>4062</v>
      </c>
      <c r="L627" s="433" t="s">
        <v>6626</v>
      </c>
      <c r="M627" s="924">
        <v>1837757.556814</v>
      </c>
      <c r="N627" s="924">
        <v>5670031.516295</v>
      </c>
      <c r="O627" s="157" t="s">
        <v>41</v>
      </c>
      <c r="P627" s="157">
        <v>2</v>
      </c>
      <c r="Q627" s="433" t="s">
        <v>2156</v>
      </c>
      <c r="R627" s="160" t="s">
        <v>2156</v>
      </c>
      <c r="S627" s="656" t="s">
        <v>47</v>
      </c>
      <c r="T627" s="340" t="s">
        <v>6627</v>
      </c>
      <c r="U627" s="31">
        <v>10000</v>
      </c>
      <c r="V627" s="31"/>
      <c r="W627" s="31"/>
      <c r="X627" s="31"/>
      <c r="Y627" s="31"/>
      <c r="Z627" s="31"/>
      <c r="AA627" s="31" t="s">
        <v>16</v>
      </c>
      <c r="AB627" s="31" t="s">
        <v>85</v>
      </c>
      <c r="AC627" s="31">
        <v>3</v>
      </c>
      <c r="AD627" s="40" t="s">
        <v>6628</v>
      </c>
      <c r="AE627" s="40" t="s">
        <v>6630</v>
      </c>
      <c r="AF627" s="40" t="s">
        <v>6372</v>
      </c>
      <c r="AG627" s="744">
        <v>44257</v>
      </c>
      <c r="AH627" s="40"/>
      <c r="AI627" s="744">
        <v>44326</v>
      </c>
      <c r="AJ627" s="652" t="s">
        <v>37</v>
      </c>
    </row>
    <row r="628" spans="1:36" ht="78" thickBot="1" x14ac:dyDescent="0.3">
      <c r="A628" s="808"/>
      <c r="B628" s="474"/>
      <c r="C628" s="436"/>
      <c r="D628" s="576"/>
      <c r="E628" s="576"/>
      <c r="F628" s="583"/>
      <c r="G628" s="583"/>
      <c r="H628" s="436"/>
      <c r="I628" s="583"/>
      <c r="J628" s="423"/>
      <c r="K628" s="195"/>
      <c r="L628" s="435"/>
      <c r="M628" s="925"/>
      <c r="N628" s="925"/>
      <c r="O628" s="165"/>
      <c r="P628" s="165"/>
      <c r="Q628" s="435"/>
      <c r="R628" s="168"/>
      <c r="S628" s="657" t="s">
        <v>91</v>
      </c>
      <c r="T628" s="335" t="s">
        <v>6622</v>
      </c>
      <c r="U628" s="25">
        <v>17700</v>
      </c>
      <c r="V628" s="25"/>
      <c r="W628" s="25"/>
      <c r="X628" s="25"/>
      <c r="Y628" s="25"/>
      <c r="Z628" s="25"/>
      <c r="AA628" s="25" t="s">
        <v>16</v>
      </c>
      <c r="AB628" s="25" t="s">
        <v>85</v>
      </c>
      <c r="AC628" s="25">
        <v>3</v>
      </c>
      <c r="AD628" s="51" t="s">
        <v>6629</v>
      </c>
      <c r="AE628" s="52" t="s">
        <v>6630</v>
      </c>
      <c r="AF628" s="52" t="s">
        <v>6372</v>
      </c>
      <c r="AG628" s="745">
        <v>44257</v>
      </c>
      <c r="AH628" s="52"/>
      <c r="AI628" s="745">
        <v>44326</v>
      </c>
      <c r="AJ628" s="653" t="s">
        <v>37</v>
      </c>
    </row>
    <row r="629" spans="1:36" ht="77.25" x14ac:dyDescent="0.25">
      <c r="A629" s="341" t="s">
        <v>1850</v>
      </c>
      <c r="B629" s="181" t="s">
        <v>1850</v>
      </c>
      <c r="C629" s="125">
        <v>32</v>
      </c>
      <c r="D629" s="585" t="s">
        <v>57</v>
      </c>
      <c r="E629" s="585"/>
      <c r="F629" s="126"/>
      <c r="G629" s="513"/>
      <c r="H629" s="125"/>
      <c r="I629" s="126"/>
      <c r="J629" s="247"/>
      <c r="K629" s="189">
        <v>796</v>
      </c>
      <c r="L629" s="355" t="s">
        <v>1857</v>
      </c>
      <c r="M629" s="911">
        <v>1667261.48</v>
      </c>
      <c r="N629" s="911">
        <v>5646515.8629000001</v>
      </c>
      <c r="O629" s="125">
        <v>6700</v>
      </c>
      <c r="P629" s="125">
        <v>2</v>
      </c>
      <c r="Q629" s="355" t="s">
        <v>4564</v>
      </c>
      <c r="R629" s="134" t="s">
        <v>85</v>
      </c>
      <c r="S629" s="38" t="s">
        <v>47</v>
      </c>
      <c r="T629" s="39" t="s">
        <v>4560</v>
      </c>
      <c r="U629" s="31"/>
      <c r="V629" s="31">
        <v>6894</v>
      </c>
      <c r="W629" s="31">
        <v>7155</v>
      </c>
      <c r="X629" s="31"/>
      <c r="Y629" s="31">
        <v>4441</v>
      </c>
      <c r="Z629" s="31">
        <v>4852</v>
      </c>
      <c r="AA629" s="31" t="s">
        <v>16</v>
      </c>
      <c r="AB629" s="31" t="s">
        <v>10</v>
      </c>
      <c r="AC629" s="31">
        <v>2</v>
      </c>
      <c r="AD629" s="40" t="s">
        <v>4563</v>
      </c>
      <c r="AE629" s="40" t="s">
        <v>1868</v>
      </c>
      <c r="AF629" s="40" t="s">
        <v>37</v>
      </c>
      <c r="AG629" s="744">
        <v>44215</v>
      </c>
      <c r="AH629" s="40"/>
      <c r="AI629" s="31"/>
      <c r="AJ629" s="652"/>
    </row>
    <row r="630" spans="1:36" ht="78" thickBot="1" x14ac:dyDescent="0.3">
      <c r="A630" s="336"/>
      <c r="B630" s="196"/>
      <c r="C630" s="96"/>
      <c r="D630" s="566"/>
      <c r="E630" s="566"/>
      <c r="F630" s="107"/>
      <c r="G630" s="107"/>
      <c r="H630" s="96"/>
      <c r="I630" s="107"/>
      <c r="J630" s="123"/>
      <c r="K630" s="190"/>
      <c r="L630" s="357"/>
      <c r="M630" s="912"/>
      <c r="N630" s="912"/>
      <c r="O630" s="96"/>
      <c r="P630" s="96"/>
      <c r="Q630" s="357"/>
      <c r="R630" s="100"/>
      <c r="S630" s="48" t="s">
        <v>91</v>
      </c>
      <c r="T630" s="49" t="s">
        <v>4561</v>
      </c>
      <c r="U630" s="25"/>
      <c r="V630" s="25"/>
      <c r="W630" s="25"/>
      <c r="X630" s="25"/>
      <c r="Y630" s="25">
        <v>13333</v>
      </c>
      <c r="Z630" s="25">
        <v>13150</v>
      </c>
      <c r="AA630" s="25" t="s">
        <v>85</v>
      </c>
      <c r="AB630" s="25" t="s">
        <v>16</v>
      </c>
      <c r="AC630" s="25">
        <v>3</v>
      </c>
      <c r="AD630" s="52" t="s">
        <v>4562</v>
      </c>
      <c r="AE630" s="52" t="s">
        <v>1868</v>
      </c>
      <c r="AF630" s="52" t="s">
        <v>37</v>
      </c>
      <c r="AG630" s="745">
        <v>44215</v>
      </c>
      <c r="AH630" s="52"/>
      <c r="AI630" s="25"/>
      <c r="AJ630" s="653"/>
    </row>
    <row r="631" spans="1:36" ht="39" x14ac:dyDescent="0.25">
      <c r="A631" s="487" t="s">
        <v>1919</v>
      </c>
      <c r="B631" s="128" t="s">
        <v>1928</v>
      </c>
      <c r="C631" s="72">
        <v>248</v>
      </c>
      <c r="D631" s="586" t="s">
        <v>57</v>
      </c>
      <c r="E631" s="586"/>
      <c r="F631" s="129"/>
      <c r="G631" s="129"/>
      <c r="H631" s="72"/>
      <c r="I631" s="129"/>
      <c r="J631" s="381"/>
      <c r="K631" s="187">
        <v>854</v>
      </c>
      <c r="L631" s="73" t="s">
        <v>1920</v>
      </c>
      <c r="M631" s="914">
        <v>1833296.0256000001</v>
      </c>
      <c r="N631" s="914">
        <v>5636152.3934000004</v>
      </c>
      <c r="O631" s="72" t="s">
        <v>41</v>
      </c>
      <c r="P631" s="72">
        <v>6</v>
      </c>
      <c r="Q631" s="73" t="s">
        <v>2156</v>
      </c>
      <c r="R631" s="74" t="s">
        <v>2156</v>
      </c>
      <c r="S631" s="38" t="s">
        <v>47</v>
      </c>
      <c r="T631" s="39" t="s">
        <v>4935</v>
      </c>
      <c r="U631" s="31">
        <v>1700</v>
      </c>
      <c r="V631" s="31"/>
      <c r="W631" s="31"/>
      <c r="X631" s="31"/>
      <c r="Y631" s="31"/>
      <c r="Z631" s="31"/>
      <c r="AA631" s="31" t="s">
        <v>85</v>
      </c>
      <c r="AB631" s="31" t="s">
        <v>10</v>
      </c>
      <c r="AC631" s="31">
        <v>3</v>
      </c>
      <c r="AD631" s="40" t="s">
        <v>4941</v>
      </c>
      <c r="AE631" s="40" t="s">
        <v>1927</v>
      </c>
      <c r="AF631" s="40" t="s">
        <v>37</v>
      </c>
      <c r="AG631" s="744">
        <v>44243</v>
      </c>
      <c r="AH631" s="40"/>
      <c r="AI631" s="31"/>
      <c r="AJ631" s="652"/>
    </row>
    <row r="632" spans="1:36" ht="26.25" x14ac:dyDescent="0.25">
      <c r="A632" s="488"/>
      <c r="B632" s="131"/>
      <c r="C632" s="75"/>
      <c r="D632" s="568"/>
      <c r="E632" s="568"/>
      <c r="F632" s="118"/>
      <c r="G632" s="118"/>
      <c r="H632" s="75"/>
      <c r="I632" s="118"/>
      <c r="J632" s="121"/>
      <c r="K632" s="188"/>
      <c r="L632" s="76"/>
      <c r="M632" s="915"/>
      <c r="N632" s="915"/>
      <c r="O632" s="75"/>
      <c r="P632" s="75"/>
      <c r="Q632" s="76"/>
      <c r="R632" s="77"/>
      <c r="S632" s="42" t="s">
        <v>91</v>
      </c>
      <c r="T632" s="43" t="s">
        <v>4936</v>
      </c>
      <c r="U632" s="24">
        <v>2538</v>
      </c>
      <c r="V632" s="24">
        <f>2538-225</f>
        <v>2313</v>
      </c>
      <c r="W632" s="24">
        <f>2538+225</f>
        <v>2763</v>
      </c>
      <c r="X632" s="24">
        <v>1760</v>
      </c>
      <c r="Y632" s="24">
        <f>1760-56</f>
        <v>1704</v>
      </c>
      <c r="Z632" s="24">
        <f>1760+56</f>
        <v>1816</v>
      </c>
      <c r="AA632" s="24" t="s">
        <v>16</v>
      </c>
      <c r="AB632" s="24" t="s">
        <v>10</v>
      </c>
      <c r="AC632" s="24">
        <v>2</v>
      </c>
      <c r="AD632" s="46" t="s">
        <v>4942</v>
      </c>
      <c r="AE632" s="46" t="s">
        <v>1927</v>
      </c>
      <c r="AF632" s="46" t="s">
        <v>37</v>
      </c>
      <c r="AG632" s="746">
        <v>44243</v>
      </c>
      <c r="AH632" s="46"/>
      <c r="AI632" s="24"/>
      <c r="AJ632" s="1107"/>
    </row>
    <row r="633" spans="1:36" ht="51.75" x14ac:dyDescent="0.25">
      <c r="A633" s="488"/>
      <c r="B633" s="131"/>
      <c r="C633" s="75"/>
      <c r="D633" s="568"/>
      <c r="E633" s="568"/>
      <c r="F633" s="118"/>
      <c r="G633" s="118"/>
      <c r="H633" s="75"/>
      <c r="I633" s="118"/>
      <c r="J633" s="121"/>
      <c r="K633" s="188"/>
      <c r="L633" s="76"/>
      <c r="M633" s="915"/>
      <c r="N633" s="915"/>
      <c r="O633" s="75"/>
      <c r="P633" s="75"/>
      <c r="Q633" s="76"/>
      <c r="R633" s="77"/>
      <c r="S633" s="42" t="s">
        <v>92</v>
      </c>
      <c r="T633" s="43" t="s">
        <v>4937</v>
      </c>
      <c r="U633" s="24">
        <v>3450</v>
      </c>
      <c r="V633" s="24">
        <f>3450-50</f>
        <v>3400</v>
      </c>
      <c r="W633" s="24">
        <f>3450+50</f>
        <v>3500</v>
      </c>
      <c r="X633" s="24">
        <v>2538</v>
      </c>
      <c r="Y633" s="24">
        <f>2538-225</f>
        <v>2313</v>
      </c>
      <c r="Z633" s="24">
        <f>2538+225</f>
        <v>2763</v>
      </c>
      <c r="AA633" s="24" t="s">
        <v>16</v>
      </c>
      <c r="AB633" s="24" t="s">
        <v>10</v>
      </c>
      <c r="AC633" s="24">
        <v>2</v>
      </c>
      <c r="AD633" s="46" t="s">
        <v>4943</v>
      </c>
      <c r="AE633" s="46" t="s">
        <v>1927</v>
      </c>
      <c r="AF633" s="46" t="s">
        <v>37</v>
      </c>
      <c r="AG633" s="746">
        <v>44243</v>
      </c>
      <c r="AH633" s="46"/>
      <c r="AI633" s="24"/>
      <c r="AJ633" s="1107"/>
    </row>
    <row r="634" spans="1:36" ht="64.5" x14ac:dyDescent="0.25">
      <c r="A634" s="488"/>
      <c r="B634" s="131"/>
      <c r="C634" s="75"/>
      <c r="D634" s="568"/>
      <c r="E634" s="568"/>
      <c r="F634" s="118"/>
      <c r="G634" s="118"/>
      <c r="H634" s="75"/>
      <c r="I634" s="118"/>
      <c r="J634" s="121"/>
      <c r="K634" s="188"/>
      <c r="L634" s="76"/>
      <c r="M634" s="915"/>
      <c r="N634" s="915"/>
      <c r="O634" s="75"/>
      <c r="P634" s="75"/>
      <c r="Q634" s="76"/>
      <c r="R634" s="77"/>
      <c r="S634" s="42" t="s">
        <v>99</v>
      </c>
      <c r="T634" s="43" t="s">
        <v>4938</v>
      </c>
      <c r="U634" s="24">
        <v>6225</v>
      </c>
      <c r="V634" s="24">
        <f>6225-60</f>
        <v>6165</v>
      </c>
      <c r="W634" s="24">
        <f>6225+60</f>
        <v>6285</v>
      </c>
      <c r="X634" s="24">
        <v>3450</v>
      </c>
      <c r="Y634" s="24">
        <f>3450-50</f>
        <v>3400</v>
      </c>
      <c r="Z634" s="24">
        <f>3450+50</f>
        <v>3500</v>
      </c>
      <c r="AA634" s="24" t="s">
        <v>16</v>
      </c>
      <c r="AB634" s="24" t="s">
        <v>10</v>
      </c>
      <c r="AC634" s="24">
        <v>2</v>
      </c>
      <c r="AD634" s="46" t="s">
        <v>4944</v>
      </c>
      <c r="AE634" s="46" t="s">
        <v>1927</v>
      </c>
      <c r="AF634" s="46" t="s">
        <v>37</v>
      </c>
      <c r="AG634" s="746">
        <v>44243</v>
      </c>
      <c r="AH634" s="46"/>
      <c r="AI634" s="24"/>
      <c r="AJ634" s="1107"/>
    </row>
    <row r="635" spans="1:36" ht="64.5" x14ac:dyDescent="0.25">
      <c r="A635" s="488"/>
      <c r="B635" s="131"/>
      <c r="C635" s="75"/>
      <c r="D635" s="568"/>
      <c r="E635" s="568"/>
      <c r="F635" s="118"/>
      <c r="G635" s="118"/>
      <c r="H635" s="75"/>
      <c r="I635" s="118"/>
      <c r="J635" s="121"/>
      <c r="K635" s="188"/>
      <c r="L635" s="76"/>
      <c r="M635" s="915"/>
      <c r="N635" s="915"/>
      <c r="O635" s="75"/>
      <c r="P635" s="75"/>
      <c r="Q635" s="76"/>
      <c r="R635" s="77"/>
      <c r="S635" s="42" t="s">
        <v>100</v>
      </c>
      <c r="T635" s="43" t="s">
        <v>4939</v>
      </c>
      <c r="U635" s="24">
        <v>11180</v>
      </c>
      <c r="V635" s="24">
        <f>11180-75</f>
        <v>11105</v>
      </c>
      <c r="W635" s="24">
        <f>11180+75</f>
        <v>11255</v>
      </c>
      <c r="X635" s="24">
        <v>6225</v>
      </c>
      <c r="Y635" s="24">
        <f>6225-60</f>
        <v>6165</v>
      </c>
      <c r="Z635" s="24">
        <f>6225+60</f>
        <v>6285</v>
      </c>
      <c r="AA635" s="24" t="s">
        <v>16</v>
      </c>
      <c r="AB635" s="24" t="s">
        <v>10</v>
      </c>
      <c r="AC635" s="24">
        <v>2</v>
      </c>
      <c r="AD635" s="46" t="s">
        <v>4945</v>
      </c>
      <c r="AE635" s="46" t="s">
        <v>1927</v>
      </c>
      <c r="AF635" s="46" t="s">
        <v>37</v>
      </c>
      <c r="AG635" s="746">
        <v>44243</v>
      </c>
      <c r="AH635" s="46"/>
      <c r="AI635" s="24"/>
      <c r="AJ635" s="1107"/>
    </row>
    <row r="636" spans="1:36" ht="65.25" thickBot="1" x14ac:dyDescent="0.3">
      <c r="A636" s="489"/>
      <c r="B636" s="133"/>
      <c r="C636" s="78"/>
      <c r="D636" s="569"/>
      <c r="E636" s="569"/>
      <c r="F636" s="119"/>
      <c r="G636" s="119"/>
      <c r="H636" s="78"/>
      <c r="I636" s="119"/>
      <c r="J636" s="429"/>
      <c r="K636" s="192"/>
      <c r="L636" s="79"/>
      <c r="M636" s="916"/>
      <c r="N636" s="916"/>
      <c r="O636" s="78"/>
      <c r="P636" s="78"/>
      <c r="Q636" s="79"/>
      <c r="R636" s="80"/>
      <c r="S636" s="48" t="s">
        <v>101</v>
      </c>
      <c r="T636" s="520" t="s">
        <v>4940</v>
      </c>
      <c r="U636" s="25">
        <v>13800</v>
      </c>
      <c r="V636" s="25">
        <f>13800-270</f>
        <v>13530</v>
      </c>
      <c r="W636" s="25">
        <f>12800+270</f>
        <v>13070</v>
      </c>
      <c r="X636" s="25">
        <v>11180</v>
      </c>
      <c r="Y636" s="25">
        <f>11180-75</f>
        <v>11105</v>
      </c>
      <c r="Z636" s="25">
        <f>11180+75</f>
        <v>11255</v>
      </c>
      <c r="AA636" s="25" t="s">
        <v>16</v>
      </c>
      <c r="AB636" s="25" t="s">
        <v>10</v>
      </c>
      <c r="AC636" s="25">
        <v>2</v>
      </c>
      <c r="AD636" s="52" t="s">
        <v>4946</v>
      </c>
      <c r="AE636" s="52" t="s">
        <v>1927</v>
      </c>
      <c r="AF636" s="52" t="s">
        <v>37</v>
      </c>
      <c r="AG636" s="745">
        <v>44243</v>
      </c>
      <c r="AH636" s="52"/>
      <c r="AI636" s="25"/>
      <c r="AJ636" s="653"/>
    </row>
    <row r="637" spans="1:36" ht="26.25" x14ac:dyDescent="0.25">
      <c r="A637" s="341" t="s">
        <v>1919</v>
      </c>
      <c r="B637" s="181" t="s">
        <v>1893</v>
      </c>
      <c r="C637" s="125">
        <v>253</v>
      </c>
      <c r="D637" s="585" t="s">
        <v>57</v>
      </c>
      <c r="E637" s="585"/>
      <c r="F637" s="126"/>
      <c r="G637" s="126"/>
      <c r="H637" s="125"/>
      <c r="I637" s="126"/>
      <c r="J637" s="247"/>
      <c r="K637" s="189">
        <v>855</v>
      </c>
      <c r="L637" s="355" t="s">
        <v>4947</v>
      </c>
      <c r="M637" s="911">
        <v>1833552.7315</v>
      </c>
      <c r="N637" s="911">
        <v>5635494.9587000003</v>
      </c>
      <c r="O637" s="125" t="s">
        <v>41</v>
      </c>
      <c r="P637" s="125">
        <v>5</v>
      </c>
      <c r="Q637" s="355" t="s">
        <v>2156</v>
      </c>
      <c r="R637" s="134" t="s">
        <v>2156</v>
      </c>
      <c r="S637" s="38" t="s">
        <v>47</v>
      </c>
      <c r="T637" s="39" t="s">
        <v>4948</v>
      </c>
      <c r="U637" s="31">
        <v>2538</v>
      </c>
      <c r="V637" s="31">
        <f>2538-225</f>
        <v>2313</v>
      </c>
      <c r="W637" s="31">
        <f>2538+225</f>
        <v>2763</v>
      </c>
      <c r="X637" s="31">
        <v>1760</v>
      </c>
      <c r="Y637" s="31">
        <f>1760-56</f>
        <v>1704</v>
      </c>
      <c r="Z637" s="31">
        <f>1760+56</f>
        <v>1816</v>
      </c>
      <c r="AA637" s="31" t="s">
        <v>16</v>
      </c>
      <c r="AB637" s="31" t="s">
        <v>10</v>
      </c>
      <c r="AC637" s="31">
        <v>2</v>
      </c>
      <c r="AD637" s="40" t="s">
        <v>4942</v>
      </c>
      <c r="AE637" s="40" t="s">
        <v>1927</v>
      </c>
      <c r="AF637" s="40" t="s">
        <v>37</v>
      </c>
      <c r="AG637" s="744">
        <v>44243</v>
      </c>
      <c r="AH637" s="40"/>
      <c r="AI637" s="31"/>
      <c r="AJ637" s="652"/>
    </row>
    <row r="638" spans="1:36" ht="51.75" x14ac:dyDescent="0.25">
      <c r="A638" s="339"/>
      <c r="B638" s="116"/>
      <c r="C638" s="95"/>
      <c r="D638" s="567"/>
      <c r="E638" s="567"/>
      <c r="F638" s="108"/>
      <c r="G638" s="108"/>
      <c r="H638" s="95"/>
      <c r="I638" s="108"/>
      <c r="J638" s="122"/>
      <c r="K638" s="191"/>
      <c r="L638" s="359"/>
      <c r="M638" s="913"/>
      <c r="N638" s="913"/>
      <c r="O638" s="95"/>
      <c r="P638" s="95"/>
      <c r="Q638" s="359"/>
      <c r="R638" s="98"/>
      <c r="S638" s="42" t="s">
        <v>91</v>
      </c>
      <c r="T638" s="43" t="s">
        <v>4949</v>
      </c>
      <c r="U638" s="24">
        <v>3450</v>
      </c>
      <c r="V638" s="24">
        <f>3450-50</f>
        <v>3400</v>
      </c>
      <c r="W638" s="24">
        <f>3450+50</f>
        <v>3500</v>
      </c>
      <c r="X638" s="24">
        <v>2538</v>
      </c>
      <c r="Y638" s="24">
        <f>2538-225</f>
        <v>2313</v>
      </c>
      <c r="Z638" s="24">
        <f>2538+225</f>
        <v>2763</v>
      </c>
      <c r="AA638" s="24" t="s">
        <v>16</v>
      </c>
      <c r="AB638" s="24" t="s">
        <v>10</v>
      </c>
      <c r="AC638" s="24">
        <v>2</v>
      </c>
      <c r="AD638" s="46" t="s">
        <v>4943</v>
      </c>
      <c r="AE638" s="46" t="s">
        <v>1927</v>
      </c>
      <c r="AF638" s="46" t="s">
        <v>37</v>
      </c>
      <c r="AG638" s="746">
        <v>44243</v>
      </c>
      <c r="AH638" s="46"/>
      <c r="AI638" s="24"/>
      <c r="AJ638" s="1107"/>
    </row>
    <row r="639" spans="1:36" ht="64.5" x14ac:dyDescent="0.25">
      <c r="A639" s="339"/>
      <c r="B639" s="116"/>
      <c r="C639" s="95"/>
      <c r="D639" s="567"/>
      <c r="E639" s="567"/>
      <c r="F639" s="108"/>
      <c r="G639" s="108"/>
      <c r="H639" s="95"/>
      <c r="I639" s="108"/>
      <c r="J639" s="122"/>
      <c r="K639" s="191"/>
      <c r="L639" s="359"/>
      <c r="M639" s="913"/>
      <c r="N639" s="913"/>
      <c r="O639" s="95"/>
      <c r="P639" s="95"/>
      <c r="Q639" s="359"/>
      <c r="R639" s="98"/>
      <c r="S639" s="42" t="s">
        <v>92</v>
      </c>
      <c r="T639" s="43" t="s">
        <v>4951</v>
      </c>
      <c r="U639" s="24"/>
      <c r="V639" s="24">
        <v>5500</v>
      </c>
      <c r="W639" s="24">
        <v>6225</v>
      </c>
      <c r="X639" s="24">
        <v>5225</v>
      </c>
      <c r="Y639" s="24">
        <f>5225-50</f>
        <v>5175</v>
      </c>
      <c r="Z639" s="24">
        <f>5225+50</f>
        <v>5275</v>
      </c>
      <c r="AA639" s="24" t="s">
        <v>16</v>
      </c>
      <c r="AB639" s="24" t="s">
        <v>10</v>
      </c>
      <c r="AC639" s="24">
        <v>2</v>
      </c>
      <c r="AD639" s="46" t="s">
        <v>4952</v>
      </c>
      <c r="AE639" s="46" t="s">
        <v>1927</v>
      </c>
      <c r="AF639" s="46" t="s">
        <v>37</v>
      </c>
      <c r="AG639" s="746">
        <v>44243</v>
      </c>
      <c r="AH639" s="46"/>
      <c r="AI639" s="24"/>
      <c r="AJ639" s="1107"/>
    </row>
    <row r="640" spans="1:36" ht="64.5" x14ac:dyDescent="0.25">
      <c r="A640" s="339"/>
      <c r="B640" s="116"/>
      <c r="C640" s="95"/>
      <c r="D640" s="567"/>
      <c r="E640" s="567"/>
      <c r="F640" s="108"/>
      <c r="G640" s="108"/>
      <c r="H640" s="95"/>
      <c r="I640" s="108"/>
      <c r="J640" s="122"/>
      <c r="K640" s="191"/>
      <c r="L640" s="359"/>
      <c r="M640" s="913"/>
      <c r="N640" s="913"/>
      <c r="O640" s="95"/>
      <c r="P640" s="95"/>
      <c r="Q640" s="359"/>
      <c r="R640" s="98"/>
      <c r="S640" s="42" t="s">
        <v>99</v>
      </c>
      <c r="T640" s="43" t="s">
        <v>4950</v>
      </c>
      <c r="U640" s="24">
        <v>13800</v>
      </c>
      <c r="V640" s="24">
        <f>13800-270</f>
        <v>13530</v>
      </c>
      <c r="W640" s="24">
        <f>12800+270</f>
        <v>13070</v>
      </c>
      <c r="X640" s="24">
        <v>11180</v>
      </c>
      <c r="Y640" s="24">
        <f>11180-75</f>
        <v>11105</v>
      </c>
      <c r="Z640" s="24">
        <f>11180+75</f>
        <v>11255</v>
      </c>
      <c r="AA640" s="24" t="s">
        <v>16</v>
      </c>
      <c r="AB640" s="24" t="s">
        <v>10</v>
      </c>
      <c r="AC640" s="24">
        <v>2</v>
      </c>
      <c r="AD640" s="46" t="s">
        <v>4953</v>
      </c>
      <c r="AE640" s="46" t="s">
        <v>1927</v>
      </c>
      <c r="AF640" s="46" t="s">
        <v>37</v>
      </c>
      <c r="AG640" s="746">
        <v>44243</v>
      </c>
      <c r="AH640" s="46"/>
      <c r="AI640" s="24"/>
      <c r="AJ640" s="1107"/>
    </row>
    <row r="641" spans="1:36" ht="65.25" thickBot="1" x14ac:dyDescent="0.3">
      <c r="A641" s="336"/>
      <c r="B641" s="196"/>
      <c r="C641" s="96"/>
      <c r="D641" s="566"/>
      <c r="E641" s="566"/>
      <c r="F641" s="107"/>
      <c r="G641" s="107"/>
      <c r="H641" s="96"/>
      <c r="I641" s="107"/>
      <c r="J641" s="123"/>
      <c r="K641" s="190"/>
      <c r="L641" s="357"/>
      <c r="M641" s="912"/>
      <c r="N641" s="912"/>
      <c r="O641" s="96"/>
      <c r="P641" s="96"/>
      <c r="Q641" s="357"/>
      <c r="R641" s="100"/>
      <c r="S641" s="48" t="s">
        <v>100</v>
      </c>
      <c r="T641" s="49" t="s">
        <v>4950</v>
      </c>
      <c r="U641" s="25">
        <v>13800</v>
      </c>
      <c r="V641" s="25">
        <f>13800-270</f>
        <v>13530</v>
      </c>
      <c r="W641" s="25">
        <f>12800+270</f>
        <v>13070</v>
      </c>
      <c r="X641" s="25">
        <v>11180</v>
      </c>
      <c r="Y641" s="25">
        <f>11180-75</f>
        <v>11105</v>
      </c>
      <c r="Z641" s="25">
        <f>11180+75</f>
        <v>11255</v>
      </c>
      <c r="AA641" s="25" t="s">
        <v>16</v>
      </c>
      <c r="AB641" s="25" t="s">
        <v>10</v>
      </c>
      <c r="AC641" s="25">
        <v>2</v>
      </c>
      <c r="AD641" s="52" t="s">
        <v>4954</v>
      </c>
      <c r="AE641" s="52" t="s">
        <v>1927</v>
      </c>
      <c r="AF641" s="52" t="s">
        <v>37</v>
      </c>
      <c r="AG641" s="745">
        <v>44243</v>
      </c>
      <c r="AH641" s="52"/>
      <c r="AI641" s="25"/>
      <c r="AJ641" s="653"/>
    </row>
    <row r="642" spans="1:36" ht="39" x14ac:dyDescent="0.25">
      <c r="A642" s="488" t="s">
        <v>1919</v>
      </c>
      <c r="B642" s="131" t="s">
        <v>7862</v>
      </c>
      <c r="C642" s="75"/>
      <c r="D642" s="568"/>
      <c r="E642" s="568"/>
      <c r="F642" s="118"/>
      <c r="G642" s="118"/>
      <c r="H642" s="75"/>
      <c r="I642" s="118"/>
      <c r="J642" s="121"/>
      <c r="K642" s="187" t="s">
        <v>2156</v>
      </c>
      <c r="L642" s="73" t="s">
        <v>4955</v>
      </c>
      <c r="M642" s="914" t="s">
        <v>2156</v>
      </c>
      <c r="N642" s="914" t="s">
        <v>2156</v>
      </c>
      <c r="O642" s="72" t="s">
        <v>4968</v>
      </c>
      <c r="P642" s="140" t="s">
        <v>3500</v>
      </c>
      <c r="Q642" s="73" t="s">
        <v>4969</v>
      </c>
      <c r="R642" s="74" t="s">
        <v>16</v>
      </c>
      <c r="S642" s="38" t="s">
        <v>47</v>
      </c>
      <c r="T642" s="39" t="s">
        <v>4960</v>
      </c>
      <c r="U642" s="31">
        <v>1700</v>
      </c>
      <c r="V642" s="31"/>
      <c r="W642" s="31"/>
      <c r="X642" s="31"/>
      <c r="Y642" s="31"/>
      <c r="Z642" s="31"/>
      <c r="AA642" s="31" t="s">
        <v>85</v>
      </c>
      <c r="AB642" s="31" t="s">
        <v>10</v>
      </c>
      <c r="AC642" s="31">
        <v>3</v>
      </c>
      <c r="AD642" s="40" t="s">
        <v>4956</v>
      </c>
      <c r="AE642" s="40" t="s">
        <v>1927</v>
      </c>
      <c r="AF642" s="40" t="s">
        <v>37</v>
      </c>
      <c r="AG642" s="744">
        <v>44243</v>
      </c>
      <c r="AH642" s="40"/>
      <c r="AI642" s="31"/>
      <c r="AJ642" s="652"/>
    </row>
    <row r="643" spans="1:36" ht="26.25" x14ac:dyDescent="0.25">
      <c r="A643" s="488"/>
      <c r="B643" s="131"/>
      <c r="C643" s="75"/>
      <c r="D643" s="568"/>
      <c r="E643" s="568"/>
      <c r="F643" s="118"/>
      <c r="G643" s="118"/>
      <c r="H643" s="75"/>
      <c r="I643" s="118"/>
      <c r="J643" s="121"/>
      <c r="K643" s="188"/>
      <c r="L643" s="76"/>
      <c r="M643" s="915"/>
      <c r="N643" s="915"/>
      <c r="O643" s="75"/>
      <c r="P643" s="75"/>
      <c r="Q643" s="76"/>
      <c r="R643" s="77"/>
      <c r="S643" s="42" t="s">
        <v>91</v>
      </c>
      <c r="T643" s="43" t="s">
        <v>4948</v>
      </c>
      <c r="U643" s="24">
        <v>2538</v>
      </c>
      <c r="V643" s="24">
        <f>2538-225</f>
        <v>2313</v>
      </c>
      <c r="W643" s="24">
        <f>2538+225</f>
        <v>2763</v>
      </c>
      <c r="X643" s="24">
        <v>1760</v>
      </c>
      <c r="Y643" s="24">
        <f>1760-56</f>
        <v>1704</v>
      </c>
      <c r="Z643" s="24">
        <f>1760+56</f>
        <v>1816</v>
      </c>
      <c r="AA643" s="24" t="s">
        <v>16</v>
      </c>
      <c r="AB643" s="24" t="s">
        <v>10</v>
      </c>
      <c r="AC643" s="24">
        <v>2</v>
      </c>
      <c r="AD643" s="46" t="s">
        <v>4957</v>
      </c>
      <c r="AE643" s="46" t="s">
        <v>1927</v>
      </c>
      <c r="AF643" s="46" t="s">
        <v>37</v>
      </c>
      <c r="AG643" s="746">
        <v>44243</v>
      </c>
      <c r="AH643" s="46"/>
      <c r="AI643" s="24"/>
      <c r="AJ643" s="1107"/>
    </row>
    <row r="644" spans="1:36" ht="26.25" x14ac:dyDescent="0.25">
      <c r="A644" s="488"/>
      <c r="B644" s="131"/>
      <c r="C644" s="75"/>
      <c r="D644" s="568"/>
      <c r="E644" s="568"/>
      <c r="F644" s="118"/>
      <c r="G644" s="118"/>
      <c r="H644" s="75"/>
      <c r="I644" s="118"/>
      <c r="J644" s="121"/>
      <c r="K644" s="188"/>
      <c r="L644" s="76"/>
      <c r="M644" s="915"/>
      <c r="N644" s="915"/>
      <c r="O644" s="75"/>
      <c r="P644" s="75"/>
      <c r="Q644" s="76"/>
      <c r="R644" s="77"/>
      <c r="S644" s="42" t="s">
        <v>92</v>
      </c>
      <c r="T644" s="43" t="s">
        <v>4961</v>
      </c>
      <c r="U644" s="24">
        <v>3450</v>
      </c>
      <c r="V644" s="24">
        <f>3450-50</f>
        <v>3400</v>
      </c>
      <c r="W644" s="24">
        <f>3450+50</f>
        <v>3500</v>
      </c>
      <c r="X644" s="24">
        <v>2538</v>
      </c>
      <c r="Y644" s="24">
        <f>2538-225</f>
        <v>2313</v>
      </c>
      <c r="Z644" s="24">
        <f>2538+225</f>
        <v>2763</v>
      </c>
      <c r="AA644" s="24" t="s">
        <v>16</v>
      </c>
      <c r="AB644" s="24" t="s">
        <v>10</v>
      </c>
      <c r="AC644" s="24">
        <v>2</v>
      </c>
      <c r="AD644" s="46" t="s">
        <v>4958</v>
      </c>
      <c r="AE644" s="46" t="s">
        <v>1927</v>
      </c>
      <c r="AF644" s="46" t="s">
        <v>37</v>
      </c>
      <c r="AG644" s="746">
        <v>44243</v>
      </c>
      <c r="AH644" s="46"/>
      <c r="AI644" s="24"/>
      <c r="AJ644" s="1107"/>
    </row>
    <row r="645" spans="1:36" ht="26.25" x14ac:dyDescent="0.25">
      <c r="A645" s="488"/>
      <c r="B645" s="131"/>
      <c r="C645" s="75"/>
      <c r="D645" s="568"/>
      <c r="E645" s="568"/>
      <c r="F645" s="118"/>
      <c r="G645" s="118"/>
      <c r="H645" s="75"/>
      <c r="I645" s="118"/>
      <c r="J645" s="121"/>
      <c r="K645" s="188"/>
      <c r="L645" s="76"/>
      <c r="M645" s="915"/>
      <c r="N645" s="915"/>
      <c r="O645" s="75"/>
      <c r="P645" s="75"/>
      <c r="Q645" s="76"/>
      <c r="R645" s="77"/>
      <c r="S645" s="42" t="s">
        <v>99</v>
      </c>
      <c r="T645" s="43" t="s">
        <v>4962</v>
      </c>
      <c r="U645" s="24">
        <v>5225</v>
      </c>
      <c r="V645" s="24">
        <f>5225-50</f>
        <v>5175</v>
      </c>
      <c r="W645" s="24">
        <f>5225+50</f>
        <v>5275</v>
      </c>
      <c r="X645" s="24">
        <v>3450</v>
      </c>
      <c r="Y645" s="24">
        <f>3450-50</f>
        <v>3400</v>
      </c>
      <c r="Z645" s="24">
        <f>3450+50</f>
        <v>3500</v>
      </c>
      <c r="AA645" s="24" t="s">
        <v>16</v>
      </c>
      <c r="AB645" s="24" t="s">
        <v>10</v>
      </c>
      <c r="AC645" s="24">
        <v>2</v>
      </c>
      <c r="AD645" s="46" t="s">
        <v>4959</v>
      </c>
      <c r="AE645" s="46" t="s">
        <v>1927</v>
      </c>
      <c r="AF645" s="46" t="s">
        <v>37</v>
      </c>
      <c r="AG645" s="746">
        <v>44243</v>
      </c>
      <c r="AH645" s="46"/>
      <c r="AI645" s="24"/>
      <c r="AJ645" s="1107"/>
    </row>
    <row r="646" spans="1:36" x14ac:dyDescent="0.25">
      <c r="A646" s="488"/>
      <c r="B646" s="131"/>
      <c r="C646" s="75"/>
      <c r="D646" s="568"/>
      <c r="E646" s="568"/>
      <c r="F646" s="118"/>
      <c r="G646" s="118"/>
      <c r="H646" s="75"/>
      <c r="I646" s="118"/>
      <c r="J646" s="121"/>
      <c r="K646" s="188"/>
      <c r="L646" s="76"/>
      <c r="M646" s="915"/>
      <c r="N646" s="915"/>
      <c r="O646" s="75"/>
      <c r="P646" s="75"/>
      <c r="Q646" s="76"/>
      <c r="R646" s="77"/>
      <c r="S646" s="42" t="s">
        <v>100</v>
      </c>
      <c r="T646" s="43" t="s">
        <v>4963</v>
      </c>
      <c r="U646" s="24">
        <v>11180</v>
      </c>
      <c r="V646" s="24">
        <f>11180-75</f>
        <v>11105</v>
      </c>
      <c r="W646" s="24">
        <f>11180+75</f>
        <v>11255</v>
      </c>
      <c r="X646" s="24">
        <v>6225</v>
      </c>
      <c r="Y646" s="24">
        <f>6225-60</f>
        <v>6165</v>
      </c>
      <c r="Z646" s="24">
        <f>6225+60</f>
        <v>6285</v>
      </c>
      <c r="AA646" s="24" t="s">
        <v>16</v>
      </c>
      <c r="AB646" s="24" t="s">
        <v>10</v>
      </c>
      <c r="AC646" s="24">
        <v>2</v>
      </c>
      <c r="AD646" s="46" t="s">
        <v>4965</v>
      </c>
      <c r="AE646" s="46" t="s">
        <v>1927</v>
      </c>
      <c r="AF646" s="46" t="s">
        <v>37</v>
      </c>
      <c r="AG646" s="746">
        <v>44243</v>
      </c>
      <c r="AH646" s="46"/>
      <c r="AI646" s="24"/>
      <c r="AJ646" s="1107"/>
    </row>
    <row r="647" spans="1:36" x14ac:dyDescent="0.25">
      <c r="A647" s="488"/>
      <c r="B647" s="131"/>
      <c r="C647" s="75"/>
      <c r="D647" s="568"/>
      <c r="E647" s="568"/>
      <c r="F647" s="118"/>
      <c r="G647" s="118"/>
      <c r="H647" s="75"/>
      <c r="I647" s="118"/>
      <c r="J647" s="121"/>
      <c r="K647" s="188"/>
      <c r="L647" s="76"/>
      <c r="M647" s="915"/>
      <c r="N647" s="915"/>
      <c r="O647" s="75"/>
      <c r="P647" s="75"/>
      <c r="Q647" s="76"/>
      <c r="R647" s="77"/>
      <c r="S647" s="42" t="s">
        <v>101</v>
      </c>
      <c r="T647" s="43" t="s">
        <v>4963</v>
      </c>
      <c r="U647" s="24">
        <v>11180</v>
      </c>
      <c r="V647" s="24">
        <f>11180-75</f>
        <v>11105</v>
      </c>
      <c r="W647" s="24">
        <f>11180+75</f>
        <v>11255</v>
      </c>
      <c r="X647" s="24">
        <v>6225</v>
      </c>
      <c r="Y647" s="24">
        <f>6225-60</f>
        <v>6165</v>
      </c>
      <c r="Z647" s="24">
        <f>6225+60</f>
        <v>6285</v>
      </c>
      <c r="AA647" s="24" t="s">
        <v>16</v>
      </c>
      <c r="AB647" s="24" t="s">
        <v>10</v>
      </c>
      <c r="AC647" s="24">
        <v>2</v>
      </c>
      <c r="AD647" s="46" t="s">
        <v>4967</v>
      </c>
      <c r="AE647" s="46" t="s">
        <v>1927</v>
      </c>
      <c r="AF647" s="46" t="s">
        <v>37</v>
      </c>
      <c r="AG647" s="746">
        <v>44243</v>
      </c>
      <c r="AH647" s="46"/>
      <c r="AI647" s="24"/>
      <c r="AJ647" s="1107"/>
    </row>
    <row r="648" spans="1:36" ht="27" thickBot="1" x14ac:dyDescent="0.3">
      <c r="A648" s="489"/>
      <c r="B648" s="133"/>
      <c r="C648" s="78"/>
      <c r="D648" s="569"/>
      <c r="E648" s="569"/>
      <c r="F648" s="119"/>
      <c r="G648" s="119"/>
      <c r="H648" s="78"/>
      <c r="I648" s="119"/>
      <c r="J648" s="429"/>
      <c r="K648" s="192"/>
      <c r="L648" s="79"/>
      <c r="M648" s="916"/>
      <c r="N648" s="916"/>
      <c r="O648" s="78"/>
      <c r="P648" s="78"/>
      <c r="Q648" s="79"/>
      <c r="R648" s="80"/>
      <c r="S648" s="48" t="s">
        <v>102</v>
      </c>
      <c r="T648" s="520" t="s">
        <v>4964</v>
      </c>
      <c r="U648" s="25">
        <v>13800</v>
      </c>
      <c r="V648" s="25">
        <f>13800-270</f>
        <v>13530</v>
      </c>
      <c r="W648" s="25">
        <f>12800+270</f>
        <v>13070</v>
      </c>
      <c r="X648" s="25">
        <v>11180</v>
      </c>
      <c r="Y648" s="25">
        <f>11180-75</f>
        <v>11105</v>
      </c>
      <c r="Z648" s="25">
        <f>11180+75</f>
        <v>11255</v>
      </c>
      <c r="AA648" s="25" t="s">
        <v>16</v>
      </c>
      <c r="AB648" s="25" t="s">
        <v>10</v>
      </c>
      <c r="AC648" s="25">
        <v>2</v>
      </c>
      <c r="AD648" s="52" t="s">
        <v>4966</v>
      </c>
      <c r="AE648" s="52" t="s">
        <v>1927</v>
      </c>
      <c r="AF648" s="52" t="s">
        <v>37</v>
      </c>
      <c r="AG648" s="745">
        <v>44243</v>
      </c>
      <c r="AH648" s="52"/>
      <c r="AI648" s="25"/>
      <c r="AJ648" s="653"/>
    </row>
    <row r="649" spans="1:36" ht="51.75" x14ac:dyDescent="0.25">
      <c r="A649" s="341" t="s">
        <v>1910</v>
      </c>
      <c r="B649" s="181" t="s">
        <v>1910</v>
      </c>
      <c r="C649" s="125">
        <v>358</v>
      </c>
      <c r="D649" s="585" t="s">
        <v>57</v>
      </c>
      <c r="E649" s="585" t="s">
        <v>53</v>
      </c>
      <c r="F649" s="126" t="s">
        <v>2155</v>
      </c>
      <c r="G649" s="903" t="s">
        <v>2146</v>
      </c>
      <c r="H649" s="125" t="s">
        <v>16</v>
      </c>
      <c r="I649" s="355" t="s">
        <v>2154</v>
      </c>
      <c r="J649" s="247" t="s">
        <v>1918</v>
      </c>
      <c r="K649" s="189">
        <v>293</v>
      </c>
      <c r="L649" s="355" t="s">
        <v>1911</v>
      </c>
      <c r="M649" s="911">
        <v>2025559.8491</v>
      </c>
      <c r="N649" s="911">
        <v>5720332.9528000001</v>
      </c>
      <c r="O649" s="125" t="s">
        <v>2155</v>
      </c>
      <c r="P649" s="394" t="s">
        <v>2146</v>
      </c>
      <c r="Q649" s="355" t="s">
        <v>2154</v>
      </c>
      <c r="R649" s="125" t="s">
        <v>16</v>
      </c>
      <c r="S649" s="38" t="s">
        <v>47</v>
      </c>
      <c r="T649" s="39" t="s">
        <v>2149</v>
      </c>
      <c r="U649" s="31"/>
      <c r="V649" s="31"/>
      <c r="W649" s="31">
        <f>3410+40</f>
        <v>3450</v>
      </c>
      <c r="X649" s="31"/>
      <c r="Y649" s="31">
        <f>3410-40</f>
        <v>3370</v>
      </c>
      <c r="Z649" s="31"/>
      <c r="AA649" s="151" t="s">
        <v>16</v>
      </c>
      <c r="AB649" s="151" t="s">
        <v>16</v>
      </c>
      <c r="AC649" s="151">
        <v>2</v>
      </c>
      <c r="AD649" s="40" t="s">
        <v>2147</v>
      </c>
      <c r="AE649" s="40" t="s">
        <v>1918</v>
      </c>
      <c r="AF649" s="40" t="s">
        <v>37</v>
      </c>
      <c r="AG649" s="744">
        <v>44116</v>
      </c>
      <c r="AH649" s="40"/>
      <c r="AI649" s="31"/>
      <c r="AJ649" s="652"/>
    </row>
    <row r="650" spans="1:36" ht="39.75" thickBot="1" x14ac:dyDescent="0.3">
      <c r="A650" s="339"/>
      <c r="B650" s="116"/>
      <c r="C650" s="95"/>
      <c r="D650" s="567"/>
      <c r="E650" s="567"/>
      <c r="F650" s="108"/>
      <c r="G650" s="108"/>
      <c r="H650" s="95"/>
      <c r="I650" s="108"/>
      <c r="J650" s="122"/>
      <c r="K650" s="190"/>
      <c r="L650" s="357"/>
      <c r="M650" s="912"/>
      <c r="N650" s="912"/>
      <c r="O650" s="96"/>
      <c r="P650" s="99"/>
      <c r="Q650" s="357"/>
      <c r="R650" s="96"/>
      <c r="S650" s="48" t="s">
        <v>91</v>
      </c>
      <c r="T650" s="49" t="s">
        <v>2151</v>
      </c>
      <c r="U650" s="25">
        <v>13635</v>
      </c>
      <c r="V650" s="25">
        <f>U650-165</f>
        <v>13470</v>
      </c>
      <c r="W650" s="25">
        <f>U650+165</f>
        <v>13800</v>
      </c>
      <c r="X650" s="25">
        <v>5530</v>
      </c>
      <c r="Y650" s="25">
        <f>X650-40</f>
        <v>5490</v>
      </c>
      <c r="Z650" s="25">
        <f>X650+40</f>
        <v>5570</v>
      </c>
      <c r="AA650" s="154" t="s">
        <v>16</v>
      </c>
      <c r="AB650" s="154" t="s">
        <v>16</v>
      </c>
      <c r="AC650" s="154">
        <v>2</v>
      </c>
      <c r="AD650" s="52" t="s">
        <v>2150</v>
      </c>
      <c r="AE650" s="52" t="s">
        <v>1918</v>
      </c>
      <c r="AF650" s="52" t="s">
        <v>37</v>
      </c>
      <c r="AG650" s="745">
        <v>44116</v>
      </c>
      <c r="AH650" s="52"/>
      <c r="AI650" s="25"/>
      <c r="AJ650" s="653"/>
    </row>
    <row r="651" spans="1:36" ht="51.75" x14ac:dyDescent="0.25">
      <c r="A651" s="339"/>
      <c r="B651" s="116"/>
      <c r="C651" s="95"/>
      <c r="D651" s="567"/>
      <c r="E651" s="567"/>
      <c r="F651" s="108"/>
      <c r="G651" s="108"/>
      <c r="H651" s="95"/>
      <c r="I651" s="108"/>
      <c r="J651" s="122"/>
      <c r="K651" s="189">
        <v>294</v>
      </c>
      <c r="L651" s="355" t="s">
        <v>2145</v>
      </c>
      <c r="M651" s="911">
        <v>2025523.3300999999</v>
      </c>
      <c r="N651" s="911">
        <v>5720312.2648999998</v>
      </c>
      <c r="O651" s="125" t="s">
        <v>2155</v>
      </c>
      <c r="P651" s="394" t="s">
        <v>2146</v>
      </c>
      <c r="Q651" s="355" t="s">
        <v>2154</v>
      </c>
      <c r="R651" s="134" t="s">
        <v>16</v>
      </c>
      <c r="S651" s="392" t="s">
        <v>47</v>
      </c>
      <c r="T651" s="39" t="s">
        <v>2149</v>
      </c>
      <c r="U651" s="31"/>
      <c r="V651" s="31"/>
      <c r="W651" s="31">
        <f>3410+40</f>
        <v>3450</v>
      </c>
      <c r="X651" s="31"/>
      <c r="Y651" s="31">
        <f>3410-40</f>
        <v>3370</v>
      </c>
      <c r="Z651" s="31"/>
      <c r="AA651" s="151" t="s">
        <v>16</v>
      </c>
      <c r="AB651" s="151" t="s">
        <v>16</v>
      </c>
      <c r="AC651" s="151">
        <v>2</v>
      </c>
      <c r="AD651" s="40" t="s">
        <v>2147</v>
      </c>
      <c r="AE651" s="40" t="s">
        <v>1918</v>
      </c>
      <c r="AF651" s="40" t="s">
        <v>37</v>
      </c>
      <c r="AG651" s="744">
        <v>44116</v>
      </c>
      <c r="AH651" s="40"/>
      <c r="AI651" s="31"/>
      <c r="AJ651" s="652"/>
    </row>
    <row r="652" spans="1:36" ht="39.75" thickBot="1" x14ac:dyDescent="0.3">
      <c r="A652" s="336"/>
      <c r="B652" s="196"/>
      <c r="C652" s="96"/>
      <c r="D652" s="566"/>
      <c r="E652" s="566"/>
      <c r="F652" s="107"/>
      <c r="G652" s="107"/>
      <c r="H652" s="96"/>
      <c r="I652" s="107"/>
      <c r="J652" s="123"/>
      <c r="K652" s="190"/>
      <c r="L652" s="357"/>
      <c r="M652" s="912"/>
      <c r="N652" s="912"/>
      <c r="O652" s="96"/>
      <c r="P652" s="96"/>
      <c r="Q652" s="357"/>
      <c r="R652" s="100"/>
      <c r="S652" s="393" t="s">
        <v>91</v>
      </c>
      <c r="T652" s="49" t="s">
        <v>2152</v>
      </c>
      <c r="U652" s="25">
        <v>13635</v>
      </c>
      <c r="V652" s="25">
        <f>U652-165</f>
        <v>13470</v>
      </c>
      <c r="W652" s="25">
        <f>U652+165</f>
        <v>13800</v>
      </c>
      <c r="X652" s="25">
        <v>3410</v>
      </c>
      <c r="Y652" s="25">
        <f>X652-40</f>
        <v>3370</v>
      </c>
      <c r="Z652" s="25">
        <f>X652+40</f>
        <v>3450</v>
      </c>
      <c r="AA652" s="154" t="s">
        <v>16</v>
      </c>
      <c r="AB652" s="154" t="s">
        <v>16</v>
      </c>
      <c r="AC652" s="154">
        <v>2</v>
      </c>
      <c r="AD652" s="52" t="s">
        <v>2153</v>
      </c>
      <c r="AE652" s="52" t="s">
        <v>1918</v>
      </c>
      <c r="AF652" s="52" t="s">
        <v>37</v>
      </c>
      <c r="AG652" s="745">
        <v>44116</v>
      </c>
      <c r="AH652" s="52"/>
      <c r="AI652" s="25"/>
      <c r="AJ652" s="653"/>
    </row>
    <row r="653" spans="1:36" ht="64.5" x14ac:dyDescent="0.25">
      <c r="A653" s="487" t="s">
        <v>2839</v>
      </c>
      <c r="B653" s="128" t="s">
        <v>2839</v>
      </c>
      <c r="C653" s="72">
        <v>193</v>
      </c>
      <c r="D653" s="586" t="s">
        <v>57</v>
      </c>
      <c r="E653" s="586"/>
      <c r="F653" s="129" t="s">
        <v>33</v>
      </c>
      <c r="G653" s="129"/>
      <c r="H653" s="72"/>
      <c r="I653" s="129"/>
      <c r="J653" s="381"/>
      <c r="K653" s="187">
        <v>4004</v>
      </c>
      <c r="L653" s="73" t="s">
        <v>6392</v>
      </c>
      <c r="M653" s="914">
        <v>1924297.33008</v>
      </c>
      <c r="N653" s="914">
        <v>5782058.4803400002</v>
      </c>
      <c r="O653" s="72" t="s">
        <v>41</v>
      </c>
      <c r="P653" s="72">
        <v>3</v>
      </c>
      <c r="Q653" s="73" t="s">
        <v>2156</v>
      </c>
      <c r="R653" s="74" t="s">
        <v>2156</v>
      </c>
      <c r="S653" s="656" t="s">
        <v>47</v>
      </c>
      <c r="T653" s="340" t="s">
        <v>6393</v>
      </c>
      <c r="U653" s="31">
        <v>665</v>
      </c>
      <c r="V653" s="31">
        <v>650</v>
      </c>
      <c r="W653" s="31">
        <v>680</v>
      </c>
      <c r="X653" s="31"/>
      <c r="Y653" s="31"/>
      <c r="Z653" s="31"/>
      <c r="AA653" s="31" t="s">
        <v>85</v>
      </c>
      <c r="AB653" s="31" t="s">
        <v>16</v>
      </c>
      <c r="AC653" s="31">
        <v>3</v>
      </c>
      <c r="AD653" s="40" t="s">
        <v>6394</v>
      </c>
      <c r="AE653" s="40" t="s">
        <v>3049</v>
      </c>
      <c r="AF653" s="40" t="s">
        <v>6372</v>
      </c>
      <c r="AG653" s="744">
        <v>44232</v>
      </c>
      <c r="AH653" s="40"/>
      <c r="AI653" s="744">
        <v>44326</v>
      </c>
      <c r="AJ653" s="652" t="s">
        <v>37</v>
      </c>
    </row>
    <row r="654" spans="1:36" ht="64.5" x14ac:dyDescent="0.25">
      <c r="A654" s="488"/>
      <c r="B654" s="131"/>
      <c r="C654" s="75"/>
      <c r="D654" s="568"/>
      <c r="E654" s="568"/>
      <c r="F654" s="118"/>
      <c r="G654" s="118"/>
      <c r="H654" s="75"/>
      <c r="I654" s="118"/>
      <c r="J654" s="121"/>
      <c r="K654" s="188"/>
      <c r="L654" s="76"/>
      <c r="M654" s="915"/>
      <c r="N654" s="915"/>
      <c r="O654" s="75"/>
      <c r="P654" s="75"/>
      <c r="Q654" s="76"/>
      <c r="R654" s="77"/>
      <c r="S654" s="658" t="s">
        <v>91</v>
      </c>
      <c r="T654" s="179" t="s">
        <v>6393</v>
      </c>
      <c r="U654" s="24">
        <v>665</v>
      </c>
      <c r="V654" s="24">
        <v>650</v>
      </c>
      <c r="W654" s="24">
        <v>680</v>
      </c>
      <c r="X654" s="24"/>
      <c r="Y654" s="24"/>
      <c r="Z654" s="24"/>
      <c r="AA654" s="24" t="s">
        <v>85</v>
      </c>
      <c r="AB654" s="24" t="s">
        <v>16</v>
      </c>
      <c r="AC654" s="24">
        <v>3</v>
      </c>
      <c r="AD654" s="46" t="s">
        <v>6394</v>
      </c>
      <c r="AE654" s="46" t="s">
        <v>3049</v>
      </c>
      <c r="AF654" s="46" t="s">
        <v>6372</v>
      </c>
      <c r="AG654" s="746">
        <v>44232</v>
      </c>
      <c r="AH654" s="46"/>
      <c r="AI654" s="746">
        <v>44326</v>
      </c>
      <c r="AJ654" s="1107" t="s">
        <v>37</v>
      </c>
    </row>
    <row r="655" spans="1:36" ht="78" thickBot="1" x14ac:dyDescent="0.3">
      <c r="A655" s="488"/>
      <c r="B655" s="131"/>
      <c r="C655" s="75"/>
      <c r="D655" s="568"/>
      <c r="E655" s="568"/>
      <c r="F655" s="118"/>
      <c r="G655" s="118"/>
      <c r="H655" s="75"/>
      <c r="I655" s="118"/>
      <c r="J655" s="121"/>
      <c r="K655" s="192"/>
      <c r="L655" s="79"/>
      <c r="M655" s="916"/>
      <c r="N655" s="916"/>
      <c r="O655" s="78"/>
      <c r="P655" s="78"/>
      <c r="Q655" s="79"/>
      <c r="R655" s="80"/>
      <c r="S655" s="657" t="s">
        <v>92</v>
      </c>
      <c r="T655" s="335" t="s">
        <v>6395</v>
      </c>
      <c r="U655" s="25"/>
      <c r="V655" s="25"/>
      <c r="W655" s="25"/>
      <c r="X655" s="25">
        <v>4830</v>
      </c>
      <c r="Y655" s="25">
        <v>4810</v>
      </c>
      <c r="Z655" s="25">
        <v>4850</v>
      </c>
      <c r="AA655" s="25" t="s">
        <v>85</v>
      </c>
      <c r="AB655" s="25" t="s">
        <v>10</v>
      </c>
      <c r="AC655" s="25">
        <v>3</v>
      </c>
      <c r="AD655" s="52" t="s">
        <v>6396</v>
      </c>
      <c r="AE655" s="52" t="s">
        <v>3049</v>
      </c>
      <c r="AF655" s="52" t="s">
        <v>6372</v>
      </c>
      <c r="AG655" s="745">
        <v>44232</v>
      </c>
      <c r="AH655" s="52"/>
      <c r="AI655" s="745">
        <v>44326</v>
      </c>
      <c r="AJ655" s="653" t="s">
        <v>37</v>
      </c>
    </row>
    <row r="656" spans="1:36" x14ac:dyDescent="0.25">
      <c r="A656" s="488"/>
      <c r="B656" s="131"/>
      <c r="C656" s="75"/>
      <c r="D656" s="568"/>
      <c r="E656" s="568"/>
      <c r="F656" s="118"/>
      <c r="G656" s="118"/>
      <c r="H656" s="75"/>
      <c r="I656" s="118"/>
      <c r="J656" s="121"/>
      <c r="K656" s="187">
        <v>4005</v>
      </c>
      <c r="L656" s="73" t="s">
        <v>6397</v>
      </c>
      <c r="M656" s="914">
        <v>1924892.64478</v>
      </c>
      <c r="N656" s="914">
        <v>5783025.2306899996</v>
      </c>
      <c r="O656" s="72" t="s">
        <v>41</v>
      </c>
      <c r="P656" s="72">
        <v>3</v>
      </c>
      <c r="Q656" s="73" t="s">
        <v>2156</v>
      </c>
      <c r="R656" s="74" t="s">
        <v>2156</v>
      </c>
      <c r="S656" s="656" t="s">
        <v>47</v>
      </c>
      <c r="T656" s="340" t="s">
        <v>6398</v>
      </c>
      <c r="U656" s="31">
        <f>1950-1987</f>
        <v>-37</v>
      </c>
      <c r="V656" s="31"/>
      <c r="W656" s="31"/>
      <c r="X656" s="31">
        <f>1950-1987</f>
        <v>-37</v>
      </c>
      <c r="Y656" s="31"/>
      <c r="Z656" s="31"/>
      <c r="AA656" s="31" t="s">
        <v>10</v>
      </c>
      <c r="AB656" s="31" t="s">
        <v>10</v>
      </c>
      <c r="AC656" s="31">
        <v>1</v>
      </c>
      <c r="AD656" s="40" t="s">
        <v>6417</v>
      </c>
      <c r="AE656" s="40" t="s">
        <v>3049</v>
      </c>
      <c r="AF656" s="40" t="s">
        <v>6372</v>
      </c>
      <c r="AG656" s="744">
        <v>44232</v>
      </c>
      <c r="AH656" s="40"/>
      <c r="AI656" s="744">
        <v>44326</v>
      </c>
      <c r="AJ656" s="652" t="s">
        <v>37</v>
      </c>
    </row>
    <row r="657" spans="1:36" ht="64.5" x14ac:dyDescent="0.25">
      <c r="A657" s="488"/>
      <c r="B657" s="131"/>
      <c r="C657" s="75"/>
      <c r="D657" s="568"/>
      <c r="E657" s="568"/>
      <c r="F657" s="118"/>
      <c r="G657" s="118"/>
      <c r="H657" s="75"/>
      <c r="I657" s="118"/>
      <c r="J657" s="121"/>
      <c r="K657" s="188"/>
      <c r="L657" s="76"/>
      <c r="M657" s="915"/>
      <c r="N657" s="915"/>
      <c r="O657" s="75"/>
      <c r="P657" s="75"/>
      <c r="Q657" s="76"/>
      <c r="R657" s="77"/>
      <c r="S657" s="658" t="s">
        <v>91</v>
      </c>
      <c r="T657" s="179" t="s">
        <v>6393</v>
      </c>
      <c r="U657" s="24">
        <v>665</v>
      </c>
      <c r="V657" s="24">
        <v>650</v>
      </c>
      <c r="W657" s="24">
        <v>680</v>
      </c>
      <c r="X657" s="24"/>
      <c r="Y657" s="24"/>
      <c r="Z657" s="24"/>
      <c r="AA657" s="24" t="s">
        <v>85</v>
      </c>
      <c r="AB657" s="24" t="s">
        <v>10</v>
      </c>
      <c r="AC657" s="24">
        <v>3</v>
      </c>
      <c r="AD657" s="46" t="s">
        <v>6399</v>
      </c>
      <c r="AE657" s="46" t="s">
        <v>3049</v>
      </c>
      <c r="AF657" s="46" t="s">
        <v>6372</v>
      </c>
      <c r="AG657" s="746">
        <v>44232</v>
      </c>
      <c r="AH657" s="46"/>
      <c r="AI657" s="746">
        <v>44326</v>
      </c>
      <c r="AJ657" s="1107" t="s">
        <v>37</v>
      </c>
    </row>
    <row r="658" spans="1:36" ht="103.5" thickBot="1" x14ac:dyDescent="0.3">
      <c r="A658" s="488"/>
      <c r="B658" s="131"/>
      <c r="C658" s="75"/>
      <c r="D658" s="568"/>
      <c r="E658" s="568"/>
      <c r="F658" s="118"/>
      <c r="G658" s="118"/>
      <c r="H658" s="75"/>
      <c r="I658" s="118"/>
      <c r="J658" s="121"/>
      <c r="K658" s="192"/>
      <c r="L658" s="79"/>
      <c r="M658" s="916"/>
      <c r="N658" s="916"/>
      <c r="O658" s="78"/>
      <c r="P658" s="78"/>
      <c r="Q658" s="79"/>
      <c r="R658" s="80"/>
      <c r="S658" s="657" t="s">
        <v>92</v>
      </c>
      <c r="T658" s="335" t="s">
        <v>6400</v>
      </c>
      <c r="U658" s="25">
        <v>4830</v>
      </c>
      <c r="V658" s="25">
        <v>4810</v>
      </c>
      <c r="W658" s="25">
        <v>4850</v>
      </c>
      <c r="X658" s="25">
        <v>665</v>
      </c>
      <c r="Y658" s="25">
        <v>650</v>
      </c>
      <c r="Z658" s="25">
        <v>680</v>
      </c>
      <c r="AA658" s="25" t="s">
        <v>16</v>
      </c>
      <c r="AB658" s="25" t="s">
        <v>16</v>
      </c>
      <c r="AC658" s="25">
        <v>2</v>
      </c>
      <c r="AD658" s="52" t="s">
        <v>6401</v>
      </c>
      <c r="AE658" s="52" t="s">
        <v>3049</v>
      </c>
      <c r="AF658" s="52" t="s">
        <v>6372</v>
      </c>
      <c r="AG658" s="745">
        <v>44232</v>
      </c>
      <c r="AH658" s="52"/>
      <c r="AI658" s="745">
        <v>44326</v>
      </c>
      <c r="AJ658" s="653" t="s">
        <v>37</v>
      </c>
    </row>
    <row r="659" spans="1:36" ht="51.75" x14ac:dyDescent="0.25">
      <c r="A659" s="488"/>
      <c r="B659" s="131"/>
      <c r="C659" s="75"/>
      <c r="D659" s="568"/>
      <c r="E659" s="568"/>
      <c r="F659" s="118"/>
      <c r="G659" s="118"/>
      <c r="H659" s="75"/>
      <c r="I659" s="118"/>
      <c r="J659" s="121"/>
      <c r="K659" s="187">
        <v>4006</v>
      </c>
      <c r="L659" s="73" t="s">
        <v>6402</v>
      </c>
      <c r="M659" s="914">
        <v>1923354.87017</v>
      </c>
      <c r="N659" s="914">
        <v>5781842.10353</v>
      </c>
      <c r="O659" s="72" t="s">
        <v>41</v>
      </c>
      <c r="P659" s="72">
        <v>3</v>
      </c>
      <c r="Q659" s="73" t="s">
        <v>2156</v>
      </c>
      <c r="R659" s="74" t="s">
        <v>2156</v>
      </c>
      <c r="S659" s="656" t="s">
        <v>47</v>
      </c>
      <c r="T659" s="340" t="s">
        <v>6393</v>
      </c>
      <c r="U659" s="31">
        <v>665</v>
      </c>
      <c r="V659" s="31">
        <v>650</v>
      </c>
      <c r="W659" s="31">
        <v>680</v>
      </c>
      <c r="X659" s="31"/>
      <c r="Y659" s="31"/>
      <c r="Z659" s="31"/>
      <c r="AA659" s="31" t="s">
        <v>85</v>
      </c>
      <c r="AB659" s="31" t="s">
        <v>10</v>
      </c>
      <c r="AC659" s="31">
        <v>3</v>
      </c>
      <c r="AD659" s="40" t="s">
        <v>6403</v>
      </c>
      <c r="AE659" s="40" t="s">
        <v>3049</v>
      </c>
      <c r="AF659" s="40" t="s">
        <v>6372</v>
      </c>
      <c r="AG659" s="744">
        <v>44232</v>
      </c>
      <c r="AH659" s="40"/>
      <c r="AI659" s="744">
        <v>44326</v>
      </c>
      <c r="AJ659" s="652" t="s">
        <v>37</v>
      </c>
    </row>
    <row r="660" spans="1:36" ht="51.75" x14ac:dyDescent="0.25">
      <c r="A660" s="488"/>
      <c r="B660" s="131"/>
      <c r="C660" s="75"/>
      <c r="D660" s="568"/>
      <c r="E660" s="568"/>
      <c r="F660" s="118"/>
      <c r="G660" s="118"/>
      <c r="H660" s="75"/>
      <c r="I660" s="118"/>
      <c r="J660" s="121"/>
      <c r="K660" s="188"/>
      <c r="L660" s="76"/>
      <c r="M660" s="915"/>
      <c r="N660" s="915"/>
      <c r="O660" s="75"/>
      <c r="P660" s="75"/>
      <c r="Q660" s="76"/>
      <c r="R660" s="77"/>
      <c r="S660" s="658" t="s">
        <v>91</v>
      </c>
      <c r="T660" s="179" t="s">
        <v>6404</v>
      </c>
      <c r="U660" s="24">
        <v>7250</v>
      </c>
      <c r="V660" s="24">
        <v>7230</v>
      </c>
      <c r="W660" s="24">
        <v>7270</v>
      </c>
      <c r="X660" s="24">
        <v>4830</v>
      </c>
      <c r="Y660" s="24">
        <v>4810</v>
      </c>
      <c r="Z660" s="24">
        <v>4850</v>
      </c>
      <c r="AA660" s="24" t="s">
        <v>16</v>
      </c>
      <c r="AB660" s="24" t="s">
        <v>10</v>
      </c>
      <c r="AC660" s="24">
        <v>2</v>
      </c>
      <c r="AD660" s="46" t="s">
        <v>6405</v>
      </c>
      <c r="AE660" s="46" t="s">
        <v>3049</v>
      </c>
      <c r="AF660" s="46" t="s">
        <v>6372</v>
      </c>
      <c r="AG660" s="746">
        <v>44232</v>
      </c>
      <c r="AH660" s="46"/>
      <c r="AI660" s="746">
        <v>44326</v>
      </c>
      <c r="AJ660" s="1107" t="s">
        <v>37</v>
      </c>
    </row>
    <row r="661" spans="1:36" ht="52.5" thickBot="1" x14ac:dyDescent="0.3">
      <c r="A661" s="488"/>
      <c r="B661" s="131"/>
      <c r="C661" s="75"/>
      <c r="D661" s="568"/>
      <c r="E661" s="568"/>
      <c r="F661" s="118"/>
      <c r="G661" s="118"/>
      <c r="H661" s="75"/>
      <c r="I661" s="118"/>
      <c r="J661" s="121"/>
      <c r="K661" s="192"/>
      <c r="L661" s="79"/>
      <c r="M661" s="916"/>
      <c r="N661" s="916"/>
      <c r="O661" s="78"/>
      <c r="P661" s="78"/>
      <c r="Q661" s="79"/>
      <c r="R661" s="80"/>
      <c r="S661" s="657" t="s">
        <v>92</v>
      </c>
      <c r="T661" s="335" t="s">
        <v>6406</v>
      </c>
      <c r="U661" s="25">
        <v>8530</v>
      </c>
      <c r="V661" s="25">
        <v>8520</v>
      </c>
      <c r="W661" s="25">
        <v>8540</v>
      </c>
      <c r="X661" s="25">
        <v>7250</v>
      </c>
      <c r="Y661" s="25">
        <v>7230</v>
      </c>
      <c r="Z661" s="25">
        <v>7270</v>
      </c>
      <c r="AA661" s="25" t="s">
        <v>16</v>
      </c>
      <c r="AB661" s="25" t="s">
        <v>16</v>
      </c>
      <c r="AC661" s="25">
        <v>2</v>
      </c>
      <c r="AD661" s="52" t="s">
        <v>6407</v>
      </c>
      <c r="AE661" s="52" t="s">
        <v>3049</v>
      </c>
      <c r="AF661" s="52" t="s">
        <v>6372</v>
      </c>
      <c r="AG661" s="745">
        <v>44232</v>
      </c>
      <c r="AH661" s="52"/>
      <c r="AI661" s="745">
        <v>44326</v>
      </c>
      <c r="AJ661" s="653" t="s">
        <v>37</v>
      </c>
    </row>
    <row r="662" spans="1:36" ht="90" x14ac:dyDescent="0.25">
      <c r="A662" s="488"/>
      <c r="B662" s="131"/>
      <c r="C662" s="75"/>
      <c r="D662" s="568"/>
      <c r="E662" s="568"/>
      <c r="F662" s="118"/>
      <c r="G662" s="118"/>
      <c r="H662" s="75"/>
      <c r="I662" s="118"/>
      <c r="J662" s="121"/>
      <c r="K662" s="187">
        <v>4007</v>
      </c>
      <c r="L662" s="73" t="s">
        <v>6408</v>
      </c>
      <c r="M662" s="914">
        <v>1924128.1178900001</v>
      </c>
      <c r="N662" s="914">
        <v>5782164.7745700004</v>
      </c>
      <c r="O662" s="72" t="s">
        <v>41</v>
      </c>
      <c r="P662" s="72">
        <v>2</v>
      </c>
      <c r="Q662" s="73" t="s">
        <v>2156</v>
      </c>
      <c r="R662" s="74" t="s">
        <v>2156</v>
      </c>
      <c r="S662" s="656" t="s">
        <v>47</v>
      </c>
      <c r="T662" s="340" t="s">
        <v>6400</v>
      </c>
      <c r="U662" s="31">
        <v>4830</v>
      </c>
      <c r="V662" s="31">
        <v>4810</v>
      </c>
      <c r="W662" s="31">
        <v>4850</v>
      </c>
      <c r="X662" s="31">
        <v>665</v>
      </c>
      <c r="Y662" s="31">
        <v>650</v>
      </c>
      <c r="Z662" s="31">
        <v>680</v>
      </c>
      <c r="AA662" s="31" t="s">
        <v>16</v>
      </c>
      <c r="AB662" s="31" t="s">
        <v>10</v>
      </c>
      <c r="AC662" s="31">
        <v>2</v>
      </c>
      <c r="AD662" s="40" t="s">
        <v>6409</v>
      </c>
      <c r="AE662" s="40" t="s">
        <v>3049</v>
      </c>
      <c r="AF662" s="40" t="s">
        <v>6372</v>
      </c>
      <c r="AG662" s="744">
        <v>44232</v>
      </c>
      <c r="AH662" s="40"/>
      <c r="AI662" s="744">
        <v>44326</v>
      </c>
      <c r="AJ662" s="652" t="s">
        <v>37</v>
      </c>
    </row>
    <row r="663" spans="1:36" ht="52.5" thickBot="1" x14ac:dyDescent="0.3">
      <c r="A663" s="488"/>
      <c r="B663" s="131"/>
      <c r="C663" s="75"/>
      <c r="D663" s="568"/>
      <c r="E663" s="568"/>
      <c r="F663" s="118"/>
      <c r="G663" s="118"/>
      <c r="H663" s="75"/>
      <c r="I663" s="118"/>
      <c r="J663" s="121"/>
      <c r="K663" s="192"/>
      <c r="L663" s="79"/>
      <c r="M663" s="916"/>
      <c r="N663" s="916"/>
      <c r="O663" s="78"/>
      <c r="P663" s="78"/>
      <c r="Q663" s="79"/>
      <c r="R663" s="80"/>
      <c r="S663" s="657" t="s">
        <v>91</v>
      </c>
      <c r="T663" s="335" t="s">
        <v>6406</v>
      </c>
      <c r="U663" s="25">
        <v>8530</v>
      </c>
      <c r="V663" s="25">
        <v>8520</v>
      </c>
      <c r="W663" s="25">
        <v>8540</v>
      </c>
      <c r="X663" s="25">
        <v>7250</v>
      </c>
      <c r="Y663" s="25">
        <v>7230</v>
      </c>
      <c r="Z663" s="25">
        <v>7270</v>
      </c>
      <c r="AA663" s="25" t="s">
        <v>16</v>
      </c>
      <c r="AB663" s="25" t="s">
        <v>16</v>
      </c>
      <c r="AC663" s="25">
        <v>2</v>
      </c>
      <c r="AD663" s="52" t="s">
        <v>6410</v>
      </c>
      <c r="AE663" s="52" t="s">
        <v>3049</v>
      </c>
      <c r="AF663" s="52" t="s">
        <v>6372</v>
      </c>
      <c r="AG663" s="745">
        <v>44232</v>
      </c>
      <c r="AH663" s="52"/>
      <c r="AI663" s="745">
        <v>44326</v>
      </c>
      <c r="AJ663" s="653" t="s">
        <v>37</v>
      </c>
    </row>
    <row r="664" spans="1:36" ht="51.75" x14ac:dyDescent="0.25">
      <c r="A664" s="488"/>
      <c r="B664" s="131"/>
      <c r="C664" s="75"/>
      <c r="D664" s="568"/>
      <c r="E664" s="568"/>
      <c r="F664" s="118"/>
      <c r="G664" s="118"/>
      <c r="H664" s="75"/>
      <c r="I664" s="118"/>
      <c r="J664" s="121"/>
      <c r="K664" s="187">
        <v>4008</v>
      </c>
      <c r="L664" s="73" t="s">
        <v>6411</v>
      </c>
      <c r="M664" s="914">
        <v>1922949.3511600001</v>
      </c>
      <c r="N664" s="914">
        <v>5781452.5727300001</v>
      </c>
      <c r="O664" s="72" t="s">
        <v>41</v>
      </c>
      <c r="P664" s="72">
        <v>2</v>
      </c>
      <c r="Q664" s="73" t="s">
        <v>2156</v>
      </c>
      <c r="R664" s="74" t="s">
        <v>2156</v>
      </c>
      <c r="S664" s="656" t="s">
        <v>47</v>
      </c>
      <c r="T664" s="340" t="s">
        <v>6412</v>
      </c>
      <c r="U664" s="31">
        <v>64</v>
      </c>
      <c r="V664" s="31"/>
      <c r="W664" s="31"/>
      <c r="X664" s="31">
        <v>665</v>
      </c>
      <c r="Y664" s="31">
        <v>650</v>
      </c>
      <c r="Z664" s="31">
        <v>680</v>
      </c>
      <c r="AA664" s="31" t="s">
        <v>16</v>
      </c>
      <c r="AB664" s="31" t="s">
        <v>10</v>
      </c>
      <c r="AC664" s="31">
        <v>2</v>
      </c>
      <c r="AD664" s="40" t="s">
        <v>6413</v>
      </c>
      <c r="AE664" s="40" t="s">
        <v>3049</v>
      </c>
      <c r="AF664" s="40" t="s">
        <v>6372</v>
      </c>
      <c r="AG664" s="744">
        <v>44232</v>
      </c>
      <c r="AH664" s="40"/>
      <c r="AI664" s="744">
        <v>44326</v>
      </c>
      <c r="AJ664" s="652" t="s">
        <v>37</v>
      </c>
    </row>
    <row r="665" spans="1:36" ht="52.5" thickBot="1" x14ac:dyDescent="0.3">
      <c r="A665" s="488"/>
      <c r="B665" s="131"/>
      <c r="C665" s="75"/>
      <c r="D665" s="568"/>
      <c r="E665" s="568"/>
      <c r="F665" s="118"/>
      <c r="G665" s="118"/>
      <c r="H665" s="75"/>
      <c r="I665" s="118"/>
      <c r="J665" s="121"/>
      <c r="K665" s="192"/>
      <c r="L665" s="79"/>
      <c r="M665" s="916"/>
      <c r="N665" s="916"/>
      <c r="O665" s="78"/>
      <c r="P665" s="78"/>
      <c r="Q665" s="79"/>
      <c r="R665" s="80"/>
      <c r="S665" s="657" t="s">
        <v>91</v>
      </c>
      <c r="T665" s="335" t="s">
        <v>6400</v>
      </c>
      <c r="U665" s="25">
        <v>665</v>
      </c>
      <c r="V665" s="25">
        <v>650</v>
      </c>
      <c r="W665" s="25">
        <v>680</v>
      </c>
      <c r="X665" s="25">
        <v>4830</v>
      </c>
      <c r="Y665" s="25">
        <v>4810</v>
      </c>
      <c r="Z665" s="25">
        <v>4850</v>
      </c>
      <c r="AA665" s="25" t="s">
        <v>16</v>
      </c>
      <c r="AB665" s="25" t="s">
        <v>10</v>
      </c>
      <c r="AC665" s="25">
        <v>2</v>
      </c>
      <c r="AD665" s="52" t="s">
        <v>6414</v>
      </c>
      <c r="AE665" s="52" t="s">
        <v>3049</v>
      </c>
      <c r="AF665" s="52" t="s">
        <v>6372</v>
      </c>
      <c r="AG665" s="745">
        <v>44232</v>
      </c>
      <c r="AH665" s="52"/>
      <c r="AI665" s="745">
        <v>44326</v>
      </c>
      <c r="AJ665" s="653" t="s">
        <v>37</v>
      </c>
    </row>
    <row r="666" spans="1:36" x14ac:dyDescent="0.25">
      <c r="A666" s="488"/>
      <c r="B666" s="131"/>
      <c r="C666" s="75"/>
      <c r="D666" s="568"/>
      <c r="E666" s="568"/>
      <c r="F666" s="118"/>
      <c r="G666" s="118"/>
      <c r="H666" s="75"/>
      <c r="I666" s="118"/>
      <c r="J666" s="121"/>
      <c r="K666" s="187">
        <v>4009</v>
      </c>
      <c r="L666" s="73" t="s">
        <v>6415</v>
      </c>
      <c r="M666" s="914">
        <v>1924792.0350200001</v>
      </c>
      <c r="N666" s="914">
        <v>5782310.1535900002</v>
      </c>
      <c r="O666" s="72" t="s">
        <v>41</v>
      </c>
      <c r="P666" s="72">
        <v>3</v>
      </c>
      <c r="Q666" s="73" t="s">
        <v>2156</v>
      </c>
      <c r="R666" s="74" t="s">
        <v>2156</v>
      </c>
      <c r="S666" s="656" t="s">
        <v>47</v>
      </c>
      <c r="T666" s="340" t="s">
        <v>6398</v>
      </c>
      <c r="U666" s="31">
        <f>1950-1987</f>
        <v>-37</v>
      </c>
      <c r="V666" s="31"/>
      <c r="W666" s="31"/>
      <c r="X666" s="31">
        <f>1950-1987</f>
        <v>-37</v>
      </c>
      <c r="Y666" s="31"/>
      <c r="Z666" s="31"/>
      <c r="AA666" s="31" t="s">
        <v>10</v>
      </c>
      <c r="AB666" s="31" t="s">
        <v>10</v>
      </c>
      <c r="AC666" s="31">
        <v>1</v>
      </c>
      <c r="AD666" s="40" t="s">
        <v>6417</v>
      </c>
      <c r="AE666" s="40" t="s">
        <v>3049</v>
      </c>
      <c r="AF666" s="40" t="s">
        <v>6372</v>
      </c>
      <c r="AG666" s="744">
        <v>44232</v>
      </c>
      <c r="AH666" s="40"/>
      <c r="AI666" s="744">
        <v>44326</v>
      </c>
      <c r="AJ666" s="652" t="s">
        <v>37</v>
      </c>
    </row>
    <row r="667" spans="1:36" ht="51.75" x14ac:dyDescent="0.25">
      <c r="A667" s="488"/>
      <c r="B667" s="131"/>
      <c r="C667" s="75"/>
      <c r="D667" s="568"/>
      <c r="E667" s="568"/>
      <c r="F667" s="118"/>
      <c r="G667" s="118"/>
      <c r="H667" s="75"/>
      <c r="I667" s="118"/>
      <c r="J667" s="121"/>
      <c r="K667" s="188"/>
      <c r="L667" s="76"/>
      <c r="M667" s="915"/>
      <c r="N667" s="915"/>
      <c r="O667" s="75"/>
      <c r="P667" s="75"/>
      <c r="Q667" s="76"/>
      <c r="R667" s="77"/>
      <c r="S667" s="658" t="s">
        <v>91</v>
      </c>
      <c r="T667" s="179" t="s">
        <v>6412</v>
      </c>
      <c r="U667" s="24">
        <v>665</v>
      </c>
      <c r="V667" s="24">
        <v>650</v>
      </c>
      <c r="W667" s="24">
        <v>680</v>
      </c>
      <c r="X667" s="24">
        <v>64</v>
      </c>
      <c r="Y667" s="24"/>
      <c r="Z667" s="24"/>
      <c r="AA667" s="24" t="s">
        <v>16</v>
      </c>
      <c r="AB667" s="24" t="s">
        <v>16</v>
      </c>
      <c r="AC667" s="24">
        <v>2</v>
      </c>
      <c r="AD667" s="46" t="s">
        <v>6416</v>
      </c>
      <c r="AE667" s="46" t="s">
        <v>3049</v>
      </c>
      <c r="AF667" s="46" t="s">
        <v>6372</v>
      </c>
      <c r="AG667" s="746">
        <v>44232</v>
      </c>
      <c r="AH667" s="46"/>
      <c r="AI667" s="746">
        <v>44326</v>
      </c>
      <c r="AJ667" s="1107" t="s">
        <v>37</v>
      </c>
    </row>
    <row r="668" spans="1:36" ht="52.5" thickBot="1" x14ac:dyDescent="0.3">
      <c r="A668" s="489"/>
      <c r="B668" s="133"/>
      <c r="C668" s="78"/>
      <c r="D668" s="569"/>
      <c r="E668" s="569"/>
      <c r="F668" s="119"/>
      <c r="G668" s="119"/>
      <c r="H668" s="78"/>
      <c r="I668" s="119"/>
      <c r="J668" s="429"/>
      <c r="K668" s="192"/>
      <c r="L668" s="79"/>
      <c r="M668" s="916"/>
      <c r="N668" s="916"/>
      <c r="O668" s="78"/>
      <c r="P668" s="78"/>
      <c r="Q668" s="79"/>
      <c r="R668" s="80"/>
      <c r="S668" s="657" t="s">
        <v>92</v>
      </c>
      <c r="T668" s="335" t="s">
        <v>6412</v>
      </c>
      <c r="U668" s="25">
        <v>665</v>
      </c>
      <c r="V668" s="25">
        <v>650</v>
      </c>
      <c r="W668" s="25">
        <v>680</v>
      </c>
      <c r="X668" s="25">
        <v>64</v>
      </c>
      <c r="Y668" s="25"/>
      <c r="Z668" s="25"/>
      <c r="AA668" s="25" t="s">
        <v>16</v>
      </c>
      <c r="AB668" s="25" t="s">
        <v>16</v>
      </c>
      <c r="AC668" s="25">
        <v>2</v>
      </c>
      <c r="AD668" s="52" t="s">
        <v>6416</v>
      </c>
      <c r="AE668" s="52" t="s">
        <v>3049</v>
      </c>
      <c r="AF668" s="52" t="s">
        <v>6372</v>
      </c>
      <c r="AG668" s="745">
        <v>44232</v>
      </c>
      <c r="AH668" s="52"/>
      <c r="AI668" s="745">
        <v>44326</v>
      </c>
      <c r="AJ668" s="653" t="s">
        <v>37</v>
      </c>
    </row>
    <row r="669" spans="1:36" s="402" customFormat="1" ht="39" x14ac:dyDescent="0.25">
      <c r="A669" s="807" t="s">
        <v>5313</v>
      </c>
      <c r="B669" s="349" t="s">
        <v>7831</v>
      </c>
      <c r="C669" s="157">
        <v>264</v>
      </c>
      <c r="D669" s="592" t="s">
        <v>53</v>
      </c>
      <c r="E669" s="592" t="s">
        <v>52</v>
      </c>
      <c r="F669" s="159"/>
      <c r="G669" s="159"/>
      <c r="H669" s="157"/>
      <c r="I669" s="159"/>
      <c r="J669" s="450"/>
      <c r="K669" s="193">
        <v>974</v>
      </c>
      <c r="L669" s="433" t="s">
        <v>7837</v>
      </c>
      <c r="M669" s="924">
        <v>1899193.0105999999</v>
      </c>
      <c r="N669" s="924">
        <v>5646183.1712999996</v>
      </c>
      <c r="O669" s="157">
        <v>2800</v>
      </c>
      <c r="P669" s="157">
        <v>6</v>
      </c>
      <c r="Q669" s="433" t="s">
        <v>7865</v>
      </c>
      <c r="R669" s="160" t="s">
        <v>85</v>
      </c>
      <c r="S669" s="656" t="s">
        <v>47</v>
      </c>
      <c r="T669" s="340" t="s">
        <v>7824</v>
      </c>
      <c r="U669" s="31">
        <v>1800</v>
      </c>
      <c r="V669" s="31"/>
      <c r="W669" s="31"/>
      <c r="X669" s="31"/>
      <c r="Y669" s="31"/>
      <c r="Z669" s="31"/>
      <c r="AA669" s="151" t="s">
        <v>85</v>
      </c>
      <c r="AB669" s="151" t="s">
        <v>10</v>
      </c>
      <c r="AC669" s="151">
        <v>3</v>
      </c>
      <c r="AD669" s="152" t="s">
        <v>7827</v>
      </c>
      <c r="AE669" s="152" t="s">
        <v>7830</v>
      </c>
      <c r="AF669" s="152" t="s">
        <v>37</v>
      </c>
      <c r="AG669" s="749">
        <v>44361</v>
      </c>
      <c r="AH669" s="40"/>
      <c r="AI669" s="744"/>
      <c r="AJ669" s="652"/>
    </row>
    <row r="670" spans="1:36" s="402" customFormat="1" ht="26.25" x14ac:dyDescent="0.25">
      <c r="A670" s="808"/>
      <c r="B670" s="550"/>
      <c r="C670" s="161"/>
      <c r="D670" s="573"/>
      <c r="E670" s="573"/>
      <c r="F670" s="163"/>
      <c r="G670" s="163"/>
      <c r="H670" s="161"/>
      <c r="I670" s="163"/>
      <c r="J670" s="423"/>
      <c r="K670" s="194"/>
      <c r="L670" s="434"/>
      <c r="M670" s="919"/>
      <c r="N670" s="919"/>
      <c r="O670" s="161"/>
      <c r="P670" s="161"/>
      <c r="Q670" s="434"/>
      <c r="R670" s="164"/>
      <c r="S670" s="658" t="s">
        <v>91</v>
      </c>
      <c r="T670" s="179" t="s">
        <v>4873</v>
      </c>
      <c r="U670" s="24">
        <v>3500</v>
      </c>
      <c r="V670" s="24"/>
      <c r="W670" s="24"/>
      <c r="X670" s="24">
        <v>1800</v>
      </c>
      <c r="Y670" s="24"/>
      <c r="Z670" s="24"/>
      <c r="AA670" s="24" t="s">
        <v>85</v>
      </c>
      <c r="AB670" s="24" t="s">
        <v>16</v>
      </c>
      <c r="AC670" s="24">
        <v>3</v>
      </c>
      <c r="AD670" s="46" t="s">
        <v>7836</v>
      </c>
      <c r="AE670" s="46" t="s">
        <v>7830</v>
      </c>
      <c r="AF670" s="46" t="s">
        <v>37</v>
      </c>
      <c r="AG670" s="746">
        <v>44361</v>
      </c>
      <c r="AH670" s="46"/>
      <c r="AI670" s="746"/>
      <c r="AJ670" s="1107"/>
    </row>
    <row r="671" spans="1:36" s="402" customFormat="1" ht="64.5" x14ac:dyDescent="0.25">
      <c r="A671" s="808"/>
      <c r="B671" s="550"/>
      <c r="C671" s="161"/>
      <c r="D671" s="573"/>
      <c r="E671" s="573"/>
      <c r="F671" s="163"/>
      <c r="G671" s="163"/>
      <c r="H671" s="161"/>
      <c r="I671" s="163"/>
      <c r="J671" s="423"/>
      <c r="K671" s="194"/>
      <c r="L671" s="434"/>
      <c r="M671" s="919"/>
      <c r="N671" s="919"/>
      <c r="O671" s="161"/>
      <c r="P671" s="161"/>
      <c r="Q671" s="434"/>
      <c r="R671" s="164"/>
      <c r="S671" s="658" t="s">
        <v>92</v>
      </c>
      <c r="T671" s="179" t="s">
        <v>7832</v>
      </c>
      <c r="U671" s="24">
        <v>4055</v>
      </c>
      <c r="V671" s="24">
        <f>4055-15</f>
        <v>4040</v>
      </c>
      <c r="W671" s="24">
        <f>4055+15</f>
        <v>4070</v>
      </c>
      <c r="X671" s="24">
        <v>3500</v>
      </c>
      <c r="Y671" s="24"/>
      <c r="Z671" s="24"/>
      <c r="AA671" s="24" t="s">
        <v>85</v>
      </c>
      <c r="AB671" s="24" t="s">
        <v>16</v>
      </c>
      <c r="AC671" s="24">
        <v>3</v>
      </c>
      <c r="AD671" s="46" t="s">
        <v>7838</v>
      </c>
      <c r="AE671" s="46" t="s">
        <v>7830</v>
      </c>
      <c r="AF671" s="46" t="s">
        <v>37</v>
      </c>
      <c r="AG671" s="746">
        <v>44361</v>
      </c>
      <c r="AH671" s="46"/>
      <c r="AI671" s="746"/>
      <c r="AJ671" s="1107"/>
    </row>
    <row r="672" spans="1:36" s="402" customFormat="1" ht="51.75" x14ac:dyDescent="0.25">
      <c r="A672" s="808"/>
      <c r="B672" s="550"/>
      <c r="C672" s="161"/>
      <c r="D672" s="573"/>
      <c r="E672" s="573"/>
      <c r="F672" s="163"/>
      <c r="G672" s="163"/>
      <c r="H672" s="161"/>
      <c r="I672" s="163"/>
      <c r="J672" s="423"/>
      <c r="K672" s="194"/>
      <c r="L672" s="434"/>
      <c r="M672" s="919"/>
      <c r="N672" s="919"/>
      <c r="O672" s="161"/>
      <c r="P672" s="161"/>
      <c r="Q672" s="434"/>
      <c r="R672" s="164"/>
      <c r="S672" s="658" t="s">
        <v>99</v>
      </c>
      <c r="T672" s="179" t="s">
        <v>7833</v>
      </c>
      <c r="U672" s="24">
        <v>3738</v>
      </c>
      <c r="V672" s="24">
        <f>6738-204</f>
        <v>6534</v>
      </c>
      <c r="W672" s="24">
        <f>6738+204</f>
        <v>6942</v>
      </c>
      <c r="X672" s="24">
        <v>4055</v>
      </c>
      <c r="Y672" s="24">
        <f>4055-15</f>
        <v>4040</v>
      </c>
      <c r="Z672" s="24">
        <f>4055+15</f>
        <v>4070</v>
      </c>
      <c r="AA672" s="24" t="s">
        <v>16</v>
      </c>
      <c r="AB672" s="24" t="s">
        <v>16</v>
      </c>
      <c r="AC672" s="24">
        <v>2</v>
      </c>
      <c r="AD672" s="46" t="s">
        <v>7841</v>
      </c>
      <c r="AE672" s="46" t="s">
        <v>7830</v>
      </c>
      <c r="AF672" s="46" t="s">
        <v>37</v>
      </c>
      <c r="AG672" s="746">
        <v>44361</v>
      </c>
      <c r="AH672" s="46"/>
      <c r="AI672" s="746"/>
      <c r="AJ672" s="1107"/>
    </row>
    <row r="673" spans="1:36" s="402" customFormat="1" ht="26.25" x14ac:dyDescent="0.25">
      <c r="A673" s="808"/>
      <c r="B673" s="550"/>
      <c r="C673" s="161"/>
      <c r="D673" s="573"/>
      <c r="E673" s="573"/>
      <c r="F673" s="163"/>
      <c r="G673" s="163"/>
      <c r="H673" s="161"/>
      <c r="I673" s="163"/>
      <c r="J673" s="423"/>
      <c r="K673" s="194"/>
      <c r="L673" s="434"/>
      <c r="M673" s="919"/>
      <c r="N673" s="919"/>
      <c r="O673" s="161"/>
      <c r="P673" s="161"/>
      <c r="Q673" s="434"/>
      <c r="R673" s="164"/>
      <c r="S673" s="658" t="s">
        <v>100</v>
      </c>
      <c r="T673" s="179" t="s">
        <v>7834</v>
      </c>
      <c r="U673" s="24">
        <v>13000</v>
      </c>
      <c r="V673" s="24"/>
      <c r="W673" s="24"/>
      <c r="X673" s="24">
        <v>10000</v>
      </c>
      <c r="Y673" s="24"/>
      <c r="Z673" s="24"/>
      <c r="AA673" s="24" t="s">
        <v>85</v>
      </c>
      <c r="AB673" s="24" t="s">
        <v>16</v>
      </c>
      <c r="AC673" s="24">
        <v>3</v>
      </c>
      <c r="AD673" s="46" t="s">
        <v>7839</v>
      </c>
      <c r="AE673" s="46" t="s">
        <v>7830</v>
      </c>
      <c r="AF673" s="46" t="s">
        <v>37</v>
      </c>
      <c r="AG673" s="746">
        <v>44361</v>
      </c>
      <c r="AH673" s="46"/>
      <c r="AI673" s="746"/>
      <c r="AJ673" s="1107"/>
    </row>
    <row r="674" spans="1:36" s="402" customFormat="1" ht="27" thickBot="1" x14ac:dyDescent="0.3">
      <c r="A674" s="809"/>
      <c r="B674" s="174"/>
      <c r="C674" s="165"/>
      <c r="D674" s="574"/>
      <c r="E674" s="574"/>
      <c r="F674" s="167"/>
      <c r="G674" s="167"/>
      <c r="H674" s="165"/>
      <c r="I674" s="167"/>
      <c r="J674" s="424"/>
      <c r="K674" s="195"/>
      <c r="L674" s="435"/>
      <c r="M674" s="925"/>
      <c r="N674" s="925"/>
      <c r="O674" s="165"/>
      <c r="P674" s="165"/>
      <c r="Q674" s="435"/>
      <c r="R674" s="168"/>
      <c r="S674" s="657" t="s">
        <v>101</v>
      </c>
      <c r="T674" s="335" t="s">
        <v>7835</v>
      </c>
      <c r="U674" s="25"/>
      <c r="V674" s="25"/>
      <c r="W674" s="25"/>
      <c r="X674" s="25">
        <v>13800</v>
      </c>
      <c r="Y674" s="25"/>
      <c r="Z674" s="25"/>
      <c r="AA674" s="25" t="s">
        <v>85</v>
      </c>
      <c r="AB674" s="25" t="s">
        <v>85</v>
      </c>
      <c r="AC674" s="25">
        <v>3</v>
      </c>
      <c r="AD674" s="52" t="s">
        <v>7840</v>
      </c>
      <c r="AE674" s="52" t="s">
        <v>7830</v>
      </c>
      <c r="AF674" s="52" t="s">
        <v>37</v>
      </c>
      <c r="AG674" s="745">
        <v>44361</v>
      </c>
      <c r="AH674" s="52"/>
      <c r="AI674" s="745"/>
      <c r="AJ674" s="653"/>
    </row>
    <row r="675" spans="1:36" ht="78" thickBot="1" x14ac:dyDescent="0.3">
      <c r="A675" s="339" t="s">
        <v>1893</v>
      </c>
      <c r="B675" s="116" t="s">
        <v>1893</v>
      </c>
      <c r="C675" s="95">
        <v>253</v>
      </c>
      <c r="D675" s="567" t="s">
        <v>57</v>
      </c>
      <c r="E675" s="567"/>
      <c r="F675" s="108"/>
      <c r="G675" s="108"/>
      <c r="H675" s="95"/>
      <c r="I675" s="108"/>
      <c r="J675" s="122"/>
      <c r="K675" s="190">
        <v>858</v>
      </c>
      <c r="L675" s="357" t="s">
        <v>4975</v>
      </c>
      <c r="M675" s="912">
        <v>1830867.0152</v>
      </c>
      <c r="N675" s="912">
        <v>5631832.6462000003</v>
      </c>
      <c r="O675" s="96" t="s">
        <v>41</v>
      </c>
      <c r="P675" s="96">
        <v>1</v>
      </c>
      <c r="Q675" s="357" t="s">
        <v>2156</v>
      </c>
      <c r="R675" s="100" t="s">
        <v>2156</v>
      </c>
      <c r="S675" s="48" t="s">
        <v>47</v>
      </c>
      <c r="T675" s="49" t="s">
        <v>4977</v>
      </c>
      <c r="U675" s="25">
        <v>3450</v>
      </c>
      <c r="V675" s="25">
        <f>3450-50</f>
        <v>3400</v>
      </c>
      <c r="W675" s="25">
        <f>3450+50</f>
        <v>3500</v>
      </c>
      <c r="X675" s="25">
        <v>1760</v>
      </c>
      <c r="Y675" s="25">
        <f>1760-56</f>
        <v>1704</v>
      </c>
      <c r="Z675" s="25">
        <f>1760+56</f>
        <v>1816</v>
      </c>
      <c r="AA675" s="25" t="s">
        <v>16</v>
      </c>
      <c r="AB675" s="25" t="s">
        <v>10</v>
      </c>
      <c r="AC675" s="25">
        <v>2</v>
      </c>
      <c r="AD675" s="52" t="s">
        <v>4979</v>
      </c>
      <c r="AE675" s="52" t="s">
        <v>4978</v>
      </c>
      <c r="AF675" s="52" t="s">
        <v>37</v>
      </c>
      <c r="AG675" s="745">
        <v>44243</v>
      </c>
      <c r="AH675" s="52"/>
      <c r="AI675" s="25"/>
      <c r="AJ675" s="653"/>
    </row>
    <row r="676" spans="1:36" ht="78" thickBot="1" x14ac:dyDescent="0.3">
      <c r="A676" s="336"/>
      <c r="B676" s="196"/>
      <c r="C676" s="96"/>
      <c r="D676" s="566"/>
      <c r="E676" s="566"/>
      <c r="F676" s="107"/>
      <c r="G676" s="107"/>
      <c r="H676" s="96"/>
      <c r="I676" s="107"/>
      <c r="J676" s="123"/>
      <c r="K676" s="89">
        <v>859</v>
      </c>
      <c r="L676" s="396" t="s">
        <v>4976</v>
      </c>
      <c r="M676" s="265">
        <v>1830466.4188999999</v>
      </c>
      <c r="N676" s="265">
        <v>5631341.7591000004</v>
      </c>
      <c r="O676" s="84" t="s">
        <v>41</v>
      </c>
      <c r="P676" s="84">
        <v>1</v>
      </c>
      <c r="Q676" s="396" t="s">
        <v>2156</v>
      </c>
      <c r="R676" s="90" t="s">
        <v>2156</v>
      </c>
      <c r="S676" s="428" t="s">
        <v>47</v>
      </c>
      <c r="T676" s="243" t="s">
        <v>4977</v>
      </c>
      <c r="U676" s="86">
        <v>3450</v>
      </c>
      <c r="V676" s="86">
        <f>3450-50</f>
        <v>3400</v>
      </c>
      <c r="W676" s="86">
        <f>3450+50</f>
        <v>3500</v>
      </c>
      <c r="X676" s="86">
        <v>1760</v>
      </c>
      <c r="Y676" s="86">
        <f>1760-56</f>
        <v>1704</v>
      </c>
      <c r="Z676" s="86">
        <f>1760+56</f>
        <v>1816</v>
      </c>
      <c r="AA676" s="86" t="s">
        <v>16</v>
      </c>
      <c r="AB676" s="86" t="s">
        <v>10</v>
      </c>
      <c r="AC676" s="86">
        <v>2</v>
      </c>
      <c r="AD676" s="92" t="s">
        <v>4979</v>
      </c>
      <c r="AE676" s="92" t="s">
        <v>4978</v>
      </c>
      <c r="AF676" s="92" t="s">
        <v>37</v>
      </c>
      <c r="AG676" s="743">
        <v>44243</v>
      </c>
      <c r="AH676" s="92"/>
      <c r="AI676" s="86"/>
      <c r="AJ676" s="1108"/>
    </row>
    <row r="677" spans="1:36" ht="39" x14ac:dyDescent="0.25">
      <c r="A677" s="487" t="s">
        <v>3581</v>
      </c>
      <c r="B677" s="128" t="s">
        <v>6824</v>
      </c>
      <c r="C677" s="72">
        <v>538</v>
      </c>
      <c r="D677" s="586" t="s">
        <v>52</v>
      </c>
      <c r="E677" s="586"/>
      <c r="F677" s="129" t="s">
        <v>4932</v>
      </c>
      <c r="G677" s="129"/>
      <c r="H677" s="72"/>
      <c r="I677" s="73"/>
      <c r="J677" s="381"/>
      <c r="K677" s="187">
        <v>853</v>
      </c>
      <c r="L677" s="73" t="s">
        <v>4925</v>
      </c>
      <c r="M677" s="914">
        <v>1418188.0321</v>
      </c>
      <c r="N677" s="914">
        <v>5246845.9918</v>
      </c>
      <c r="O677" s="72" t="s">
        <v>4932</v>
      </c>
      <c r="P677" s="72">
        <v>3</v>
      </c>
      <c r="Q677" s="73" t="s">
        <v>4934</v>
      </c>
      <c r="R677" s="74" t="s">
        <v>16</v>
      </c>
      <c r="S677" s="38" t="s">
        <v>47</v>
      </c>
      <c r="T677" s="39" t="s">
        <v>4926</v>
      </c>
      <c r="U677" s="31">
        <v>12100</v>
      </c>
      <c r="V677" s="31">
        <f>12100-1700</f>
        <v>10400</v>
      </c>
      <c r="W677" s="31">
        <f>12100+1700</f>
        <v>13800</v>
      </c>
      <c r="X677" s="31"/>
      <c r="Y677" s="31"/>
      <c r="Z677" s="31"/>
      <c r="AA677" s="31" t="s">
        <v>85</v>
      </c>
      <c r="AB677" s="31" t="s">
        <v>10</v>
      </c>
      <c r="AC677" s="31">
        <v>3</v>
      </c>
      <c r="AD677" s="40" t="s">
        <v>4929</v>
      </c>
      <c r="AE677" s="40" t="s">
        <v>4931</v>
      </c>
      <c r="AF677" s="40" t="s">
        <v>37</v>
      </c>
      <c r="AG677" s="744">
        <v>44243</v>
      </c>
      <c r="AH677" s="40"/>
      <c r="AI677" s="31"/>
      <c r="AJ677" s="652"/>
    </row>
    <row r="678" spans="1:36" ht="51.75" x14ac:dyDescent="0.25">
      <c r="A678" s="488"/>
      <c r="B678" s="131"/>
      <c r="C678" s="75"/>
      <c r="D678" s="568"/>
      <c r="E678" s="568"/>
      <c r="F678" s="118"/>
      <c r="G678" s="118"/>
      <c r="H678" s="75"/>
      <c r="I678" s="118"/>
      <c r="J678" s="121"/>
      <c r="K678" s="188"/>
      <c r="L678" s="76"/>
      <c r="M678" s="915"/>
      <c r="N678" s="915"/>
      <c r="O678" s="75"/>
      <c r="P678" s="75"/>
      <c r="Q678" s="76"/>
      <c r="R678" s="77"/>
      <c r="S678" s="42" t="s">
        <v>91</v>
      </c>
      <c r="T678" s="43" t="s">
        <v>4927</v>
      </c>
      <c r="U678" s="24">
        <v>18500</v>
      </c>
      <c r="V678" s="24">
        <f>18500-1300</f>
        <v>17200</v>
      </c>
      <c r="W678" s="24">
        <f>18500+1300</f>
        <v>19800</v>
      </c>
      <c r="X678" s="24">
        <v>12100</v>
      </c>
      <c r="Y678" s="24">
        <f>12100-1700</f>
        <v>10400</v>
      </c>
      <c r="Z678" s="24">
        <f>12100+1700</f>
        <v>13800</v>
      </c>
      <c r="AA678" s="24" t="s">
        <v>16</v>
      </c>
      <c r="AB678" s="24" t="s">
        <v>16</v>
      </c>
      <c r="AC678" s="24">
        <v>2</v>
      </c>
      <c r="AD678" s="46" t="s">
        <v>4930</v>
      </c>
      <c r="AE678" s="46" t="s">
        <v>3574</v>
      </c>
      <c r="AF678" s="46" t="s">
        <v>37</v>
      </c>
      <c r="AG678" s="746">
        <v>44243</v>
      </c>
      <c r="AH678" s="46"/>
      <c r="AI678" s="24"/>
      <c r="AJ678" s="1107"/>
    </row>
    <row r="679" spans="1:36" ht="52.5" thickBot="1" x14ac:dyDescent="0.3">
      <c r="A679" s="489"/>
      <c r="B679" s="133"/>
      <c r="C679" s="78"/>
      <c r="D679" s="569"/>
      <c r="E679" s="569"/>
      <c r="F679" s="119"/>
      <c r="G679" s="119"/>
      <c r="H679" s="78"/>
      <c r="I679" s="119"/>
      <c r="J679" s="429"/>
      <c r="K679" s="192"/>
      <c r="L679" s="79"/>
      <c r="M679" s="916"/>
      <c r="N679" s="916"/>
      <c r="O679" s="78"/>
      <c r="P679" s="78"/>
      <c r="Q679" s="79"/>
      <c r="R679" s="80"/>
      <c r="S679" s="48" t="s">
        <v>92</v>
      </c>
      <c r="T679" s="49" t="s">
        <v>4928</v>
      </c>
      <c r="U679" s="25">
        <v>58300</v>
      </c>
      <c r="V679" s="25">
        <f>58300-3900</f>
        <v>54400</v>
      </c>
      <c r="W679" s="25">
        <f>58300+3900</f>
        <v>62200</v>
      </c>
      <c r="X679" s="25">
        <v>18500</v>
      </c>
      <c r="Y679" s="25">
        <f>18500-1300</f>
        <v>17200</v>
      </c>
      <c r="Z679" s="25">
        <f>18500+1300</f>
        <v>19800</v>
      </c>
      <c r="AA679" s="25" t="s">
        <v>16</v>
      </c>
      <c r="AB679" s="25" t="s">
        <v>16</v>
      </c>
      <c r="AC679" s="25">
        <v>2</v>
      </c>
      <c r="AD679" s="52" t="s">
        <v>4933</v>
      </c>
      <c r="AE679" s="52" t="s">
        <v>3574</v>
      </c>
      <c r="AF679" s="52" t="s">
        <v>37</v>
      </c>
      <c r="AG679" s="745">
        <v>44243</v>
      </c>
      <c r="AH679" s="52"/>
      <c r="AI679" s="25"/>
      <c r="AJ679" s="653"/>
    </row>
    <row r="680" spans="1:36" ht="39.75" thickBot="1" x14ac:dyDescent="0.3">
      <c r="A680" s="487" t="s">
        <v>2134</v>
      </c>
      <c r="B680" s="128" t="s">
        <v>2134</v>
      </c>
      <c r="C680" s="72">
        <v>725</v>
      </c>
      <c r="D680" s="586" t="s">
        <v>52</v>
      </c>
      <c r="E680" s="586" t="s">
        <v>408</v>
      </c>
      <c r="F680" s="129" t="s">
        <v>41</v>
      </c>
      <c r="G680" s="129">
        <v>1</v>
      </c>
      <c r="H680" s="72"/>
      <c r="I680" s="129"/>
      <c r="J680" s="381"/>
      <c r="K680" s="87">
        <v>843</v>
      </c>
      <c r="L680" s="360" t="s">
        <v>4845</v>
      </c>
      <c r="M680" s="198">
        <v>1407527.16</v>
      </c>
      <c r="N680" s="198">
        <v>5039363.5871000001</v>
      </c>
      <c r="O680" s="83" t="s">
        <v>41</v>
      </c>
      <c r="P680" s="83">
        <v>1</v>
      </c>
      <c r="Q680" s="360" t="s">
        <v>2156</v>
      </c>
      <c r="R680" s="88" t="s">
        <v>2156</v>
      </c>
      <c r="S680" s="428" t="s">
        <v>47</v>
      </c>
      <c r="T680" s="243" t="s">
        <v>4846</v>
      </c>
      <c r="U680" s="86">
        <v>43000</v>
      </c>
      <c r="V680" s="86">
        <f>43000-3000</f>
        <v>40000</v>
      </c>
      <c r="W680" s="86">
        <f>43000+3000</f>
        <v>46000</v>
      </c>
      <c r="X680" s="86">
        <v>16800</v>
      </c>
      <c r="Y680" s="86">
        <f>16800-1000</f>
        <v>15800</v>
      </c>
      <c r="Z680" s="86">
        <f>16800+1000</f>
        <v>17800</v>
      </c>
      <c r="AA680" s="86" t="s">
        <v>16</v>
      </c>
      <c r="AB680" s="86" t="s">
        <v>10</v>
      </c>
      <c r="AC680" s="86">
        <v>2</v>
      </c>
      <c r="AD680" s="92" t="s">
        <v>4847</v>
      </c>
      <c r="AE680" s="92" t="s">
        <v>2141</v>
      </c>
      <c r="AF680" s="92" t="s">
        <v>37</v>
      </c>
      <c r="AG680" s="743">
        <v>44231</v>
      </c>
      <c r="AH680" s="92"/>
      <c r="AI680" s="86"/>
      <c r="AJ680" s="1108"/>
    </row>
    <row r="681" spans="1:36" ht="15.75" thickBot="1" x14ac:dyDescent="0.3">
      <c r="A681" s="489"/>
      <c r="B681" s="133"/>
      <c r="C681" s="78"/>
      <c r="D681" s="569"/>
      <c r="E681" s="569"/>
      <c r="F681" s="119"/>
      <c r="G681" s="119"/>
      <c r="H681" s="78"/>
      <c r="I681" s="119"/>
      <c r="J681" s="429"/>
      <c r="K681" s="87">
        <v>844</v>
      </c>
      <c r="L681" s="360" t="s">
        <v>4848</v>
      </c>
      <c r="M681" s="198">
        <v>1407351.912</v>
      </c>
      <c r="N681" s="198">
        <v>5039588.92</v>
      </c>
      <c r="O681" s="83" t="s">
        <v>41</v>
      </c>
      <c r="P681" s="83">
        <v>1</v>
      </c>
      <c r="Q681" s="360" t="s">
        <v>2156</v>
      </c>
      <c r="R681" s="88" t="s">
        <v>2156</v>
      </c>
      <c r="S681" s="428" t="s">
        <v>47</v>
      </c>
      <c r="T681" s="243" t="s">
        <v>4849</v>
      </c>
      <c r="U681" s="86"/>
      <c r="V681" s="86"/>
      <c r="W681" s="86"/>
      <c r="X681" s="86">
        <v>14700</v>
      </c>
      <c r="Y681" s="86">
        <f>14700-1300</f>
        <v>13400</v>
      </c>
      <c r="Z681" s="86">
        <f>14700+1300</f>
        <v>16000</v>
      </c>
      <c r="AA681" s="86" t="s">
        <v>85</v>
      </c>
      <c r="AB681" s="86" t="s">
        <v>16</v>
      </c>
      <c r="AC681" s="86">
        <v>3</v>
      </c>
      <c r="AD681" s="92" t="s">
        <v>4850</v>
      </c>
      <c r="AE681" s="92" t="s">
        <v>2141</v>
      </c>
      <c r="AF681" s="92" t="s">
        <v>37</v>
      </c>
      <c r="AG681" s="743">
        <v>44231</v>
      </c>
      <c r="AH681" s="92"/>
      <c r="AI681" s="86"/>
      <c r="AJ681" s="1108"/>
    </row>
    <row r="682" spans="1:36" ht="39" x14ac:dyDescent="0.25">
      <c r="A682" s="635" t="s">
        <v>824</v>
      </c>
      <c r="B682" s="316" t="s">
        <v>839</v>
      </c>
      <c r="C682" s="254">
        <v>804</v>
      </c>
      <c r="D682" s="597" t="s">
        <v>52</v>
      </c>
      <c r="E682" s="597" t="s">
        <v>53</v>
      </c>
      <c r="F682" s="126"/>
      <c r="G682" s="126"/>
      <c r="H682" s="125"/>
      <c r="I682" s="126"/>
      <c r="J682" s="247"/>
      <c r="K682" s="189">
        <v>823</v>
      </c>
      <c r="L682" s="253" t="s">
        <v>825</v>
      </c>
      <c r="M682" s="952">
        <v>1367653.6410999999</v>
      </c>
      <c r="N682" s="952">
        <v>4888612.2975000003</v>
      </c>
      <c r="O682" s="125" t="s">
        <v>41</v>
      </c>
      <c r="P682" s="145" t="s">
        <v>834</v>
      </c>
      <c r="Q682" s="355" t="s">
        <v>2156</v>
      </c>
      <c r="R682" s="134" t="s">
        <v>2156</v>
      </c>
      <c r="S682" s="38" t="s">
        <v>47</v>
      </c>
      <c r="T682" s="39" t="s">
        <v>4744</v>
      </c>
      <c r="U682" s="31"/>
      <c r="V682" s="31"/>
      <c r="W682" s="31"/>
      <c r="X682" s="31">
        <v>11400</v>
      </c>
      <c r="Y682" s="31">
        <f>11400-900</f>
        <v>10500</v>
      </c>
      <c r="Z682" s="31">
        <f>11400+900</f>
        <v>12300</v>
      </c>
      <c r="AA682" s="31" t="s">
        <v>85</v>
      </c>
      <c r="AB682" s="31" t="s">
        <v>10</v>
      </c>
      <c r="AC682" s="31">
        <v>3</v>
      </c>
      <c r="AD682" s="40" t="s">
        <v>4738</v>
      </c>
      <c r="AE682" s="40" t="s">
        <v>4234</v>
      </c>
      <c r="AF682" s="40" t="s">
        <v>37</v>
      </c>
      <c r="AG682" s="744">
        <v>44218</v>
      </c>
      <c r="AH682" s="40"/>
      <c r="AI682" s="31"/>
      <c r="AJ682" s="652"/>
    </row>
    <row r="683" spans="1:36" ht="78" thickBot="1" x14ac:dyDescent="0.3">
      <c r="A683" s="1042"/>
      <c r="B683" s="346"/>
      <c r="C683" s="258"/>
      <c r="D683" s="778"/>
      <c r="E683" s="778"/>
      <c r="F683" s="108"/>
      <c r="G683" s="108"/>
      <c r="H683" s="95"/>
      <c r="I683" s="108"/>
      <c r="J683" s="122"/>
      <c r="K683" s="190"/>
      <c r="L683" s="363"/>
      <c r="M683" s="954"/>
      <c r="N683" s="954"/>
      <c r="O683" s="96"/>
      <c r="P683" s="147"/>
      <c r="Q683" s="357"/>
      <c r="R683" s="100"/>
      <c r="S683" s="48" t="s">
        <v>91</v>
      </c>
      <c r="T683" s="49" t="s">
        <v>4737</v>
      </c>
      <c r="U683" s="25">
        <v>36500</v>
      </c>
      <c r="V683" s="25">
        <f>36500-1400</f>
        <v>35100</v>
      </c>
      <c r="W683" s="25">
        <f>36500+1400</f>
        <v>37900</v>
      </c>
      <c r="X683" s="25"/>
      <c r="Y683" s="25"/>
      <c r="Z683" s="25"/>
      <c r="AA683" s="25" t="s">
        <v>85</v>
      </c>
      <c r="AB683" s="25" t="s">
        <v>16</v>
      </c>
      <c r="AC683" s="25">
        <v>3</v>
      </c>
      <c r="AD683" s="52" t="s">
        <v>4739</v>
      </c>
      <c r="AE683" s="52" t="s">
        <v>4234</v>
      </c>
      <c r="AF683" s="52" t="s">
        <v>37</v>
      </c>
      <c r="AG683" s="745">
        <v>44218</v>
      </c>
      <c r="AH683" s="52"/>
      <c r="AI683" s="25"/>
      <c r="AJ683" s="653"/>
    </row>
    <row r="684" spans="1:36" ht="51.75" x14ac:dyDescent="0.25">
      <c r="A684" s="339"/>
      <c r="B684" s="116"/>
      <c r="C684" s="95"/>
      <c r="D684" s="567"/>
      <c r="E684" s="567"/>
      <c r="F684" s="108"/>
      <c r="G684" s="108"/>
      <c r="H684" s="95"/>
      <c r="I684" s="108"/>
      <c r="J684" s="122"/>
      <c r="K684" s="189">
        <v>824</v>
      </c>
      <c r="L684" s="253" t="s">
        <v>826</v>
      </c>
      <c r="M684" s="952">
        <v>1370311.1891000001</v>
      </c>
      <c r="N684" s="952">
        <v>4895319.3145000003</v>
      </c>
      <c r="O684" s="125" t="s">
        <v>41</v>
      </c>
      <c r="P684" s="145" t="s">
        <v>834</v>
      </c>
      <c r="Q684" s="355" t="s">
        <v>2156</v>
      </c>
      <c r="R684" s="134" t="s">
        <v>2156</v>
      </c>
      <c r="S684" s="38" t="s">
        <v>47</v>
      </c>
      <c r="T684" s="39" t="s">
        <v>4759</v>
      </c>
      <c r="U684" s="31">
        <v>29400</v>
      </c>
      <c r="V684" s="31">
        <f>29400-1900</f>
        <v>27500</v>
      </c>
      <c r="W684" s="31">
        <f>29400+1900</f>
        <v>31300</v>
      </c>
      <c r="X684" s="31">
        <v>16700</v>
      </c>
      <c r="Y684" s="31">
        <f>16700-400</f>
        <v>16300</v>
      </c>
      <c r="Z684" s="31">
        <f>16700+400</f>
        <v>17100</v>
      </c>
      <c r="AA684" s="31" t="s">
        <v>16</v>
      </c>
      <c r="AB684" s="31" t="s">
        <v>10</v>
      </c>
      <c r="AC684" s="31">
        <v>2</v>
      </c>
      <c r="AD684" s="40" t="s">
        <v>4741</v>
      </c>
      <c r="AE684" s="40" t="s">
        <v>4234</v>
      </c>
      <c r="AF684" s="40" t="s">
        <v>37</v>
      </c>
      <c r="AG684" s="744">
        <v>44218</v>
      </c>
      <c r="AH684" s="40"/>
      <c r="AI684" s="31"/>
      <c r="AJ684" s="652"/>
    </row>
    <row r="685" spans="1:36" ht="51.75" x14ac:dyDescent="0.25">
      <c r="A685" s="339"/>
      <c r="B685" s="116"/>
      <c r="C685" s="95"/>
      <c r="D685" s="567"/>
      <c r="E685" s="567"/>
      <c r="F685" s="108"/>
      <c r="G685" s="108"/>
      <c r="H685" s="95"/>
      <c r="I685" s="108"/>
      <c r="J685" s="122"/>
      <c r="K685" s="191"/>
      <c r="L685" s="462"/>
      <c r="M685" s="953"/>
      <c r="N685" s="953"/>
      <c r="O685" s="95"/>
      <c r="P685" s="146"/>
      <c r="Q685" s="359"/>
      <c r="R685" s="98"/>
      <c r="S685" s="42" t="s">
        <v>91</v>
      </c>
      <c r="T685" s="43" t="s">
        <v>4745</v>
      </c>
      <c r="U685" s="24"/>
      <c r="V685" s="24"/>
      <c r="W685" s="24"/>
      <c r="X685" s="24">
        <v>29400</v>
      </c>
      <c r="Y685" s="24">
        <f>29400-1900</f>
        <v>27500</v>
      </c>
      <c r="Z685" s="24">
        <f>29400+1900</f>
        <v>31300</v>
      </c>
      <c r="AA685" s="24" t="s">
        <v>85</v>
      </c>
      <c r="AB685" s="24" t="s">
        <v>10</v>
      </c>
      <c r="AC685" s="24">
        <v>3</v>
      </c>
      <c r="AD685" s="46" t="s">
        <v>4742</v>
      </c>
      <c r="AE685" s="46" t="s">
        <v>4234</v>
      </c>
      <c r="AF685" s="46" t="s">
        <v>37</v>
      </c>
      <c r="AG685" s="746">
        <v>44218</v>
      </c>
      <c r="AH685" s="46"/>
      <c r="AI685" s="24"/>
      <c r="AJ685" s="1107"/>
    </row>
    <row r="686" spans="1:36" ht="65.25" thickBot="1" x14ac:dyDescent="0.3">
      <c r="A686" s="339"/>
      <c r="B686" s="116"/>
      <c r="C686" s="95"/>
      <c r="D686" s="567"/>
      <c r="E686" s="567"/>
      <c r="F686" s="108"/>
      <c r="G686" s="108"/>
      <c r="H686" s="95"/>
      <c r="I686" s="108"/>
      <c r="J686" s="122"/>
      <c r="K686" s="190"/>
      <c r="L686" s="363"/>
      <c r="M686" s="954"/>
      <c r="N686" s="954"/>
      <c r="O686" s="96"/>
      <c r="P686" s="147"/>
      <c r="Q686" s="357"/>
      <c r="R686" s="100"/>
      <c r="S686" s="48" t="s">
        <v>92</v>
      </c>
      <c r="T686" s="49" t="s">
        <v>4746</v>
      </c>
      <c r="U686" s="25">
        <v>42000</v>
      </c>
      <c r="V686" s="25">
        <f>42000-4300</f>
        <v>37700</v>
      </c>
      <c r="W686" s="25">
        <f>42000+4300</f>
        <v>46300</v>
      </c>
      <c r="X686" s="25"/>
      <c r="Y686" s="25"/>
      <c r="Z686" s="25"/>
      <c r="AA686" s="25" t="s">
        <v>85</v>
      </c>
      <c r="AB686" s="25" t="s">
        <v>16</v>
      </c>
      <c r="AC686" s="25">
        <v>3</v>
      </c>
      <c r="AD686" s="52" t="s">
        <v>4740</v>
      </c>
      <c r="AE686" s="52" t="s">
        <v>4234</v>
      </c>
      <c r="AF686" s="52" t="s">
        <v>37</v>
      </c>
      <c r="AG686" s="745">
        <v>44218</v>
      </c>
      <c r="AH686" s="52"/>
      <c r="AI686" s="25"/>
      <c r="AJ686" s="653"/>
    </row>
    <row r="687" spans="1:36" ht="39" x14ac:dyDescent="0.25">
      <c r="A687" s="339"/>
      <c r="B687" s="116"/>
      <c r="C687" s="95"/>
      <c r="D687" s="567"/>
      <c r="E687" s="567"/>
      <c r="F687" s="108"/>
      <c r="G687" s="108"/>
      <c r="H687" s="95"/>
      <c r="I687" s="108"/>
      <c r="J687" s="122"/>
      <c r="K687" s="189">
        <v>825</v>
      </c>
      <c r="L687" s="253" t="s">
        <v>827</v>
      </c>
      <c r="M687" s="952">
        <v>1370389.7705000001</v>
      </c>
      <c r="N687" s="952">
        <v>4895387.1802000003</v>
      </c>
      <c r="O687" s="125" t="s">
        <v>41</v>
      </c>
      <c r="P687" s="799" t="s">
        <v>2146</v>
      </c>
      <c r="Q687" s="355" t="s">
        <v>2156</v>
      </c>
      <c r="R687" s="134" t="s">
        <v>2156</v>
      </c>
      <c r="S687" s="38" t="s">
        <v>47</v>
      </c>
      <c r="T687" s="39" t="s">
        <v>4748</v>
      </c>
      <c r="U687" s="31"/>
      <c r="V687" s="31"/>
      <c r="W687" s="31"/>
      <c r="X687" s="31">
        <v>20000</v>
      </c>
      <c r="Y687" s="31">
        <f>20000-1700</f>
        <v>18300</v>
      </c>
      <c r="Z687" s="31">
        <f>20000+1700</f>
        <v>21700</v>
      </c>
      <c r="AA687" s="31" t="s">
        <v>85</v>
      </c>
      <c r="AB687" s="31" t="s">
        <v>10</v>
      </c>
      <c r="AC687" s="31">
        <v>3</v>
      </c>
      <c r="AD687" s="40" t="s">
        <v>4749</v>
      </c>
      <c r="AE687" s="40" t="s">
        <v>4234</v>
      </c>
      <c r="AF687" s="40" t="s">
        <v>37</v>
      </c>
      <c r="AG687" s="744">
        <v>44218</v>
      </c>
      <c r="AH687" s="40"/>
      <c r="AI687" s="31"/>
      <c r="AJ687" s="652"/>
    </row>
    <row r="688" spans="1:36" ht="65.25" thickBot="1" x14ac:dyDescent="0.3">
      <c r="A688" s="339"/>
      <c r="B688" s="116"/>
      <c r="C688" s="95"/>
      <c r="D688" s="567"/>
      <c r="E688" s="567"/>
      <c r="F688" s="108"/>
      <c r="G688" s="108"/>
      <c r="H688" s="95"/>
      <c r="I688" s="108"/>
      <c r="J688" s="122"/>
      <c r="K688" s="190"/>
      <c r="L688" s="357"/>
      <c r="M688" s="912"/>
      <c r="N688" s="912"/>
      <c r="O688" s="96"/>
      <c r="P688" s="96"/>
      <c r="Q688" s="357"/>
      <c r="R688" s="100"/>
      <c r="S688" s="48" t="s">
        <v>91</v>
      </c>
      <c r="T688" s="49" t="s">
        <v>4743</v>
      </c>
      <c r="U688" s="25">
        <v>70600</v>
      </c>
      <c r="V688" s="25">
        <f>70600-3400</f>
        <v>67200</v>
      </c>
      <c r="W688" s="25">
        <f>70600+3400</f>
        <v>74000</v>
      </c>
      <c r="X688" s="25"/>
      <c r="Y688" s="25"/>
      <c r="Z688" s="25"/>
      <c r="AA688" s="25" t="s">
        <v>85</v>
      </c>
      <c r="AB688" s="25" t="s">
        <v>16</v>
      </c>
      <c r="AC688" s="25">
        <v>3</v>
      </c>
      <c r="AD688" s="52" t="s">
        <v>4747</v>
      </c>
      <c r="AE688" s="52" t="s">
        <v>4234</v>
      </c>
      <c r="AF688" s="52" t="s">
        <v>37</v>
      </c>
      <c r="AG688" s="745">
        <v>44218</v>
      </c>
      <c r="AH688" s="52"/>
      <c r="AI688" s="25"/>
      <c r="AJ688" s="653"/>
    </row>
    <row r="689" spans="1:36" ht="39" x14ac:dyDescent="0.25">
      <c r="A689" s="339"/>
      <c r="B689" s="116"/>
      <c r="C689" s="95"/>
      <c r="D689" s="567"/>
      <c r="E689" s="567"/>
      <c r="F689" s="108"/>
      <c r="G689" s="108"/>
      <c r="H689" s="95"/>
      <c r="I689" s="108"/>
      <c r="J689" s="122"/>
      <c r="K689" s="189" t="s">
        <v>2156</v>
      </c>
      <c r="L689" s="355" t="s">
        <v>4750</v>
      </c>
      <c r="M689" s="911"/>
      <c r="N689" s="911"/>
      <c r="O689" s="126" t="s">
        <v>4757</v>
      </c>
      <c r="P689" s="513" t="s">
        <v>834</v>
      </c>
      <c r="Q689" s="355" t="s">
        <v>4758</v>
      </c>
      <c r="R689" s="134" t="s">
        <v>85</v>
      </c>
      <c r="S689" s="38" t="s">
        <v>47</v>
      </c>
      <c r="T689" s="39" t="s">
        <v>4751</v>
      </c>
      <c r="U689" s="31">
        <v>29400</v>
      </c>
      <c r="V689" s="31">
        <f>29400-1900</f>
        <v>27500</v>
      </c>
      <c r="W689" s="31">
        <f>29400+1900</f>
        <v>31300</v>
      </c>
      <c r="X689" s="31">
        <v>20000</v>
      </c>
      <c r="Y689" s="31">
        <f>20000-1700</f>
        <v>18300</v>
      </c>
      <c r="Z689" s="31">
        <f>20000+1700</f>
        <v>21700</v>
      </c>
      <c r="AA689" s="31" t="s">
        <v>16</v>
      </c>
      <c r="AB689" s="31" t="s">
        <v>10</v>
      </c>
      <c r="AC689" s="31">
        <v>2</v>
      </c>
      <c r="AD689" s="40" t="s">
        <v>4754</v>
      </c>
      <c r="AE689" s="40" t="s">
        <v>4234</v>
      </c>
      <c r="AF689" s="40" t="s">
        <v>37</v>
      </c>
      <c r="AG689" s="744">
        <v>44218</v>
      </c>
      <c r="AH689" s="40"/>
      <c r="AI689" s="31"/>
      <c r="AJ689" s="652"/>
    </row>
    <row r="690" spans="1:36" ht="39" x14ac:dyDescent="0.25">
      <c r="A690" s="339"/>
      <c r="B690" s="116"/>
      <c r="C690" s="95"/>
      <c r="D690" s="567"/>
      <c r="E690" s="567"/>
      <c r="F690" s="108"/>
      <c r="G690" s="108"/>
      <c r="H690" s="95"/>
      <c r="I690" s="108"/>
      <c r="J690" s="122"/>
      <c r="K690" s="191"/>
      <c r="L690" s="359"/>
      <c r="M690" s="913"/>
      <c r="N690" s="913"/>
      <c r="O690" s="95"/>
      <c r="P690" s="95"/>
      <c r="Q690" s="359"/>
      <c r="R690" s="98"/>
      <c r="S690" s="42" t="s">
        <v>91</v>
      </c>
      <c r="T690" s="43" t="s">
        <v>4752</v>
      </c>
      <c r="U690" s="24">
        <v>36500</v>
      </c>
      <c r="V690" s="24">
        <f>36500-1400</f>
        <v>35100</v>
      </c>
      <c r="W690" s="24">
        <f>36500+1400</f>
        <v>37900</v>
      </c>
      <c r="X690" s="24">
        <v>29400</v>
      </c>
      <c r="Y690" s="24">
        <f>29400-1900</f>
        <v>27500</v>
      </c>
      <c r="Z690" s="24">
        <f>29400+1900</f>
        <v>31300</v>
      </c>
      <c r="AA690" s="24" t="s">
        <v>85</v>
      </c>
      <c r="AB690" s="24" t="s">
        <v>10</v>
      </c>
      <c r="AC690" s="24">
        <v>3</v>
      </c>
      <c r="AD690" s="46" t="s">
        <v>4756</v>
      </c>
      <c r="AE690" s="46" t="s">
        <v>4234</v>
      </c>
      <c r="AF690" s="46" t="s">
        <v>37</v>
      </c>
      <c r="AG690" s="746">
        <v>44218</v>
      </c>
      <c r="AH690" s="46"/>
      <c r="AI690" s="24"/>
      <c r="AJ690" s="1107"/>
    </row>
    <row r="691" spans="1:36" ht="39.75" thickBot="1" x14ac:dyDescent="0.3">
      <c r="A691" s="336"/>
      <c r="B691" s="196"/>
      <c r="C691" s="96"/>
      <c r="D691" s="566"/>
      <c r="E691" s="566"/>
      <c r="F691" s="107"/>
      <c r="G691" s="107"/>
      <c r="H691" s="96"/>
      <c r="I691" s="107"/>
      <c r="J691" s="123"/>
      <c r="K691" s="190"/>
      <c r="L691" s="357"/>
      <c r="M691" s="912"/>
      <c r="N691" s="912"/>
      <c r="O691" s="96"/>
      <c r="P691" s="96"/>
      <c r="Q691" s="357"/>
      <c r="R691" s="100"/>
      <c r="S691" s="48" t="s">
        <v>92</v>
      </c>
      <c r="T691" s="49" t="s">
        <v>4753</v>
      </c>
      <c r="U691" s="25">
        <v>36500</v>
      </c>
      <c r="V691" s="25">
        <f>36500-1400</f>
        <v>35100</v>
      </c>
      <c r="W691" s="25">
        <f>36500+1400</f>
        <v>37900</v>
      </c>
      <c r="X691" s="25">
        <v>70600</v>
      </c>
      <c r="Y691" s="25">
        <f>70600-3400</f>
        <v>67200</v>
      </c>
      <c r="Z691" s="25">
        <f>70600+3400</f>
        <v>74000</v>
      </c>
      <c r="AA691" s="25" t="s">
        <v>85</v>
      </c>
      <c r="AB691" s="25" t="s">
        <v>16</v>
      </c>
      <c r="AC691" s="25">
        <v>3</v>
      </c>
      <c r="AD691" s="52" t="s">
        <v>4755</v>
      </c>
      <c r="AE691" s="52" t="s">
        <v>4234</v>
      </c>
      <c r="AF691" s="52" t="s">
        <v>37</v>
      </c>
      <c r="AG691" s="745">
        <v>44218</v>
      </c>
      <c r="AH691" s="52"/>
      <c r="AI691" s="25"/>
      <c r="AJ691" s="653"/>
    </row>
    <row r="692" spans="1:36" ht="51.75" x14ac:dyDescent="0.25">
      <c r="A692" s="524" t="s">
        <v>4</v>
      </c>
      <c r="B692" s="81" t="s">
        <v>54</v>
      </c>
      <c r="C692" s="26">
        <v>566</v>
      </c>
      <c r="D692" s="594" t="s">
        <v>53</v>
      </c>
      <c r="E692" s="594"/>
      <c r="F692" s="491" t="s">
        <v>87</v>
      </c>
      <c r="G692" s="491">
        <v>4</v>
      </c>
      <c r="H692" s="26" t="s">
        <v>16</v>
      </c>
      <c r="I692" s="81" t="s">
        <v>141</v>
      </c>
      <c r="J692" s="29" t="s">
        <v>14</v>
      </c>
      <c r="K692" s="490">
        <v>6</v>
      </c>
      <c r="L692" s="58" t="s">
        <v>40</v>
      </c>
      <c r="M692" s="932">
        <v>1690067.43096</v>
      </c>
      <c r="N692" s="932">
        <v>5398351.6477499995</v>
      </c>
      <c r="O692" s="57" t="s">
        <v>44</v>
      </c>
      <c r="P692" s="26">
        <v>3</v>
      </c>
      <c r="Q692" s="58" t="s">
        <v>139</v>
      </c>
      <c r="R692" s="59" t="s">
        <v>16</v>
      </c>
      <c r="S692" s="42" t="s">
        <v>47</v>
      </c>
      <c r="T692" s="43" t="s">
        <v>122</v>
      </c>
      <c r="U692" s="24">
        <v>9000</v>
      </c>
      <c r="V692" s="24">
        <v>8400</v>
      </c>
      <c r="W692" s="24">
        <v>9600</v>
      </c>
      <c r="X692" s="24">
        <v>640</v>
      </c>
      <c r="Y692" s="24">
        <v>560</v>
      </c>
      <c r="Z692" s="24">
        <v>720</v>
      </c>
      <c r="AA692" s="24" t="s">
        <v>16</v>
      </c>
      <c r="AB692" s="24" t="s">
        <v>10</v>
      </c>
      <c r="AC692" s="24">
        <v>2</v>
      </c>
      <c r="AD692" s="45" t="s">
        <v>168</v>
      </c>
      <c r="AE692" s="46" t="s">
        <v>42</v>
      </c>
      <c r="AF692" s="46" t="s">
        <v>37</v>
      </c>
      <c r="AG692" s="746">
        <v>43957</v>
      </c>
      <c r="AH692" s="46"/>
      <c r="AI692" s="24"/>
      <c r="AJ692" s="729"/>
    </row>
    <row r="693" spans="1:36" ht="39" x14ac:dyDescent="0.25">
      <c r="A693" s="736"/>
      <c r="B693" s="516"/>
      <c r="C693" s="27"/>
      <c r="D693" s="570"/>
      <c r="E693" s="570"/>
      <c r="F693" s="502"/>
      <c r="G693" s="502"/>
      <c r="H693" s="27"/>
      <c r="I693" s="516"/>
      <c r="J693" s="639"/>
      <c r="K693" s="501"/>
      <c r="L693" s="60"/>
      <c r="M693" s="933"/>
      <c r="N693" s="933"/>
      <c r="O693" s="27"/>
      <c r="P693" s="27"/>
      <c r="Q693" s="60"/>
      <c r="R693" s="61"/>
      <c r="S693" s="42" t="s">
        <v>91</v>
      </c>
      <c r="T693" s="43" t="s">
        <v>121</v>
      </c>
      <c r="U693" s="44">
        <v>11000</v>
      </c>
      <c r="V693" s="24">
        <v>9200</v>
      </c>
      <c r="W693" s="44">
        <v>12800</v>
      </c>
      <c r="X693" s="24">
        <v>9000</v>
      </c>
      <c r="Y693" s="24">
        <v>8400</v>
      </c>
      <c r="Z693" s="24">
        <v>9600</v>
      </c>
      <c r="AA693" s="24" t="s">
        <v>16</v>
      </c>
      <c r="AB693" s="24" t="s">
        <v>10</v>
      </c>
      <c r="AC693" s="24">
        <v>2</v>
      </c>
      <c r="AD693" s="45" t="s">
        <v>166</v>
      </c>
      <c r="AE693" s="46" t="s">
        <v>42</v>
      </c>
      <c r="AF693" s="46" t="s">
        <v>37</v>
      </c>
      <c r="AG693" s="746">
        <v>43957</v>
      </c>
      <c r="AH693" s="46"/>
      <c r="AI693" s="24"/>
      <c r="AJ693" s="1107"/>
    </row>
    <row r="694" spans="1:36" ht="39.75" thickBot="1" x14ac:dyDescent="0.3">
      <c r="A694" s="790"/>
      <c r="B694" s="777"/>
      <c r="C694" s="28"/>
      <c r="D694" s="575"/>
      <c r="E694" s="575"/>
      <c r="F694" s="504"/>
      <c r="G694" s="504"/>
      <c r="H694" s="28"/>
      <c r="I694" s="777"/>
      <c r="J694" s="608"/>
      <c r="K694" s="503"/>
      <c r="L694" s="62"/>
      <c r="M694" s="923"/>
      <c r="N694" s="923"/>
      <c r="O694" s="28"/>
      <c r="P694" s="28"/>
      <c r="Q694" s="62"/>
      <c r="R694" s="63"/>
      <c r="S694" s="48" t="s">
        <v>92</v>
      </c>
      <c r="T694" s="49" t="s">
        <v>120</v>
      </c>
      <c r="U694" s="25" t="s">
        <v>41</v>
      </c>
      <c r="V694" s="25" t="s">
        <v>41</v>
      </c>
      <c r="W694" s="25" t="s">
        <v>41</v>
      </c>
      <c r="X694" s="50">
        <v>11000</v>
      </c>
      <c r="Y694" s="25">
        <v>9200</v>
      </c>
      <c r="Z694" s="50">
        <v>12800</v>
      </c>
      <c r="AA694" s="25" t="s">
        <v>85</v>
      </c>
      <c r="AB694" s="25" t="s">
        <v>10</v>
      </c>
      <c r="AC694" s="25">
        <v>3</v>
      </c>
      <c r="AD694" s="51" t="s">
        <v>167</v>
      </c>
      <c r="AE694" s="52" t="s">
        <v>42</v>
      </c>
      <c r="AF694" s="52" t="s">
        <v>37</v>
      </c>
      <c r="AG694" s="745">
        <v>43957</v>
      </c>
      <c r="AH694" s="52"/>
      <c r="AI694" s="25"/>
      <c r="AJ694" s="653"/>
    </row>
    <row r="695" spans="1:36" ht="90" x14ac:dyDescent="0.25">
      <c r="A695" s="807" t="s">
        <v>4</v>
      </c>
      <c r="B695" s="349" t="s">
        <v>7727</v>
      </c>
      <c r="C695" s="157">
        <v>565</v>
      </c>
      <c r="D695" s="592" t="s">
        <v>57</v>
      </c>
      <c r="E695" s="592" t="s">
        <v>53</v>
      </c>
      <c r="F695" s="159"/>
      <c r="G695" s="159"/>
      <c r="H695" s="157"/>
      <c r="I695" s="159"/>
      <c r="J695" s="450"/>
      <c r="K695" s="193">
        <v>970</v>
      </c>
      <c r="L695" s="433" t="s">
        <v>7728</v>
      </c>
      <c r="M695" s="924">
        <v>1710900.9101</v>
      </c>
      <c r="N695" s="924">
        <v>5400784.5466999998</v>
      </c>
      <c r="O695" s="159" t="s">
        <v>7735</v>
      </c>
      <c r="P695" s="157">
        <v>5</v>
      </c>
      <c r="Q695" s="433" t="s">
        <v>7736</v>
      </c>
      <c r="R695" s="160" t="s">
        <v>16</v>
      </c>
      <c r="S695" s="38" t="s">
        <v>47</v>
      </c>
      <c r="T695" s="39" t="s">
        <v>7729</v>
      </c>
      <c r="U695" s="31">
        <v>3200</v>
      </c>
      <c r="V695" s="31">
        <f>U695-700</f>
        <v>2500</v>
      </c>
      <c r="W695" s="31">
        <f>U695+700</f>
        <v>3900</v>
      </c>
      <c r="X695" s="31"/>
      <c r="Y695" s="31"/>
      <c r="Z695" s="31"/>
      <c r="AA695" s="31" t="s">
        <v>16</v>
      </c>
      <c r="AB695" s="31" t="s">
        <v>16</v>
      </c>
      <c r="AC695" s="31">
        <v>2</v>
      </c>
      <c r="AD695" s="40" t="s">
        <v>7734</v>
      </c>
      <c r="AE695" s="40" t="s">
        <v>7720</v>
      </c>
      <c r="AF695" s="40" t="s">
        <v>37</v>
      </c>
      <c r="AG695" s="744">
        <v>44356</v>
      </c>
      <c r="AH695" s="40"/>
      <c r="AI695" s="31"/>
      <c r="AJ695" s="652"/>
    </row>
    <row r="696" spans="1:36" ht="90" x14ac:dyDescent="0.25">
      <c r="A696" s="808"/>
      <c r="B696" s="550"/>
      <c r="C696" s="161"/>
      <c r="D696" s="573"/>
      <c r="E696" s="573"/>
      <c r="F696" s="163"/>
      <c r="G696" s="163"/>
      <c r="H696" s="161"/>
      <c r="I696" s="163"/>
      <c r="J696" s="423"/>
      <c r="K696" s="194"/>
      <c r="L696" s="434"/>
      <c r="M696" s="919"/>
      <c r="N696" s="919"/>
      <c r="O696" s="161"/>
      <c r="P696" s="161"/>
      <c r="Q696" s="434"/>
      <c r="R696" s="164"/>
      <c r="S696" s="42" t="s">
        <v>91</v>
      </c>
      <c r="T696" s="43" t="s">
        <v>7730</v>
      </c>
      <c r="U696" s="24">
        <v>5200</v>
      </c>
      <c r="V696" s="24">
        <f>U696-1200</f>
        <v>4000</v>
      </c>
      <c r="W696" s="24">
        <f>U696+1200</f>
        <v>6400</v>
      </c>
      <c r="X696" s="24"/>
      <c r="Y696" s="24"/>
      <c r="Z696" s="24"/>
      <c r="AA696" s="24" t="s">
        <v>16</v>
      </c>
      <c r="AB696" s="24" t="s">
        <v>16</v>
      </c>
      <c r="AC696" s="24">
        <v>2</v>
      </c>
      <c r="AD696" s="46" t="s">
        <v>7734</v>
      </c>
      <c r="AE696" s="46" t="s">
        <v>7720</v>
      </c>
      <c r="AF696" s="46" t="s">
        <v>37</v>
      </c>
      <c r="AG696" s="746">
        <v>44356</v>
      </c>
      <c r="AH696" s="46"/>
      <c r="AI696" s="24"/>
      <c r="AJ696" s="1107"/>
    </row>
    <row r="697" spans="1:36" ht="90" x14ac:dyDescent="0.25">
      <c r="A697" s="808"/>
      <c r="B697" s="550"/>
      <c r="C697" s="161"/>
      <c r="D697" s="573"/>
      <c r="E697" s="573"/>
      <c r="F697" s="163"/>
      <c r="G697" s="163"/>
      <c r="H697" s="161"/>
      <c r="I697" s="163"/>
      <c r="J697" s="423"/>
      <c r="K697" s="194"/>
      <c r="L697" s="434"/>
      <c r="M697" s="919"/>
      <c r="N697" s="919"/>
      <c r="O697" s="161"/>
      <c r="P697" s="161"/>
      <c r="Q697" s="434"/>
      <c r="R697" s="164"/>
      <c r="S697" s="42" t="s">
        <v>92</v>
      </c>
      <c r="T697" s="43" t="s">
        <v>7731</v>
      </c>
      <c r="U697" s="24">
        <v>9200</v>
      </c>
      <c r="V697" s="24">
        <f>U697-2500</f>
        <v>6700</v>
      </c>
      <c r="W697" s="24">
        <f>U697+2500</f>
        <v>11700</v>
      </c>
      <c r="X697" s="24"/>
      <c r="Y697" s="24"/>
      <c r="Z697" s="24"/>
      <c r="AA697" s="24" t="s">
        <v>16</v>
      </c>
      <c r="AB697" s="24" t="s">
        <v>16</v>
      </c>
      <c r="AC697" s="24">
        <v>2</v>
      </c>
      <c r="AD697" s="46" t="s">
        <v>7734</v>
      </c>
      <c r="AE697" s="46" t="s">
        <v>7720</v>
      </c>
      <c r="AF697" s="46" t="s">
        <v>37</v>
      </c>
      <c r="AG697" s="746">
        <v>44356</v>
      </c>
      <c r="AH697" s="46"/>
      <c r="AI697" s="24"/>
      <c r="AJ697" s="1107"/>
    </row>
    <row r="698" spans="1:36" ht="90" x14ac:dyDescent="0.25">
      <c r="A698" s="808"/>
      <c r="B698" s="550"/>
      <c r="C698" s="161"/>
      <c r="D698" s="573"/>
      <c r="E698" s="573"/>
      <c r="F698" s="163"/>
      <c r="G698" s="163"/>
      <c r="H698" s="161"/>
      <c r="I698" s="163"/>
      <c r="J698" s="423"/>
      <c r="K698" s="194"/>
      <c r="L698" s="434"/>
      <c r="M698" s="919"/>
      <c r="N698" s="919"/>
      <c r="O698" s="161"/>
      <c r="P698" s="161"/>
      <c r="Q698" s="434"/>
      <c r="R698" s="164"/>
      <c r="S698" s="42" t="s">
        <v>99</v>
      </c>
      <c r="T698" s="43" t="s">
        <v>7732</v>
      </c>
      <c r="U698" s="24">
        <v>11400</v>
      </c>
      <c r="V698" s="24">
        <f>U698-3300</f>
        <v>8100</v>
      </c>
      <c r="W698" s="24">
        <f>U698+3300</f>
        <v>14700</v>
      </c>
      <c r="X698" s="24"/>
      <c r="Y698" s="24"/>
      <c r="Z698" s="24"/>
      <c r="AA698" s="24" t="s">
        <v>16</v>
      </c>
      <c r="AB698" s="24" t="s">
        <v>16</v>
      </c>
      <c r="AC698" s="24">
        <v>2</v>
      </c>
      <c r="AD698" s="46" t="s">
        <v>7734</v>
      </c>
      <c r="AE698" s="46" t="s">
        <v>7720</v>
      </c>
      <c r="AF698" s="46" t="s">
        <v>37</v>
      </c>
      <c r="AG698" s="746">
        <v>44356</v>
      </c>
      <c r="AH698" s="46"/>
      <c r="AI698" s="24"/>
      <c r="AJ698" s="1107"/>
    </row>
    <row r="699" spans="1:36" ht="90.75" thickBot="1" x14ac:dyDescent="0.3">
      <c r="A699" s="809"/>
      <c r="B699" s="174"/>
      <c r="C699" s="165"/>
      <c r="D699" s="574"/>
      <c r="E699" s="574"/>
      <c r="F699" s="167"/>
      <c r="G699" s="167"/>
      <c r="H699" s="165"/>
      <c r="I699" s="167"/>
      <c r="J699" s="424"/>
      <c r="K699" s="195"/>
      <c r="L699" s="435"/>
      <c r="M699" s="925"/>
      <c r="N699" s="925"/>
      <c r="O699" s="165"/>
      <c r="P699" s="165"/>
      <c r="Q699" s="435"/>
      <c r="R699" s="168"/>
      <c r="S699" s="48" t="s">
        <v>100</v>
      </c>
      <c r="T699" s="49" t="s">
        <v>7733</v>
      </c>
      <c r="U699" s="25">
        <v>15300</v>
      </c>
      <c r="V699" s="25">
        <f>U699-3500</f>
        <v>11800</v>
      </c>
      <c r="W699" s="25">
        <f>U699+3500</f>
        <v>18800</v>
      </c>
      <c r="X699" s="25"/>
      <c r="Y699" s="25"/>
      <c r="Z699" s="25"/>
      <c r="AA699" s="25" t="s">
        <v>16</v>
      </c>
      <c r="AB699" s="25" t="s">
        <v>16</v>
      </c>
      <c r="AC699" s="25">
        <v>2</v>
      </c>
      <c r="AD699" s="52" t="s">
        <v>7734</v>
      </c>
      <c r="AE699" s="52" t="s">
        <v>7720</v>
      </c>
      <c r="AF699" s="52" t="s">
        <v>37</v>
      </c>
      <c r="AG699" s="745">
        <v>44356</v>
      </c>
      <c r="AH699" s="52"/>
      <c r="AI699" s="25"/>
      <c r="AJ699" s="653"/>
    </row>
    <row r="700" spans="1:36" ht="78" thickBot="1" x14ac:dyDescent="0.3">
      <c r="A700" s="334" t="s">
        <v>5559</v>
      </c>
      <c r="B700" s="333" t="s">
        <v>5560</v>
      </c>
      <c r="C700" s="84">
        <v>724</v>
      </c>
      <c r="D700" s="591" t="s">
        <v>52</v>
      </c>
      <c r="E700" s="591" t="s">
        <v>53</v>
      </c>
      <c r="F700" s="109"/>
      <c r="G700" s="109"/>
      <c r="H700" s="84"/>
      <c r="I700" s="109"/>
      <c r="J700" s="124"/>
      <c r="K700" s="89">
        <v>863</v>
      </c>
      <c r="L700" s="396" t="s">
        <v>5561</v>
      </c>
      <c r="M700" s="265">
        <v>1354900.946</v>
      </c>
      <c r="N700" s="265">
        <v>5036548.5499</v>
      </c>
      <c r="O700" s="84" t="s">
        <v>41</v>
      </c>
      <c r="P700" s="84" t="s">
        <v>1454</v>
      </c>
      <c r="Q700" s="396" t="s">
        <v>5565</v>
      </c>
      <c r="R700" s="90" t="s">
        <v>2156</v>
      </c>
      <c r="S700" s="428" t="s">
        <v>47</v>
      </c>
      <c r="T700" s="243" t="s">
        <v>5566</v>
      </c>
      <c r="U700" s="86">
        <v>5000</v>
      </c>
      <c r="V700" s="86"/>
      <c r="W700" s="86"/>
      <c r="X700" s="86"/>
      <c r="Y700" s="86"/>
      <c r="Z700" s="86"/>
      <c r="AA700" s="86" t="s">
        <v>85</v>
      </c>
      <c r="AB700" s="86" t="s">
        <v>16</v>
      </c>
      <c r="AC700" s="86">
        <v>3</v>
      </c>
      <c r="AD700" s="92" t="s">
        <v>5564</v>
      </c>
      <c r="AE700" s="92" t="s">
        <v>5563</v>
      </c>
      <c r="AF700" s="92" t="s">
        <v>37</v>
      </c>
      <c r="AG700" s="743">
        <v>44258</v>
      </c>
      <c r="AH700" s="92"/>
      <c r="AI700" s="86"/>
      <c r="AJ700" s="1108"/>
    </row>
    <row r="701" spans="1:36" ht="64.5" x14ac:dyDescent="0.25">
      <c r="A701" s="487" t="s">
        <v>1081</v>
      </c>
      <c r="B701" s="128" t="s">
        <v>1082</v>
      </c>
      <c r="C701" s="72">
        <v>242</v>
      </c>
      <c r="D701" s="586" t="s">
        <v>57</v>
      </c>
      <c r="E701" s="586"/>
      <c r="F701" s="129"/>
      <c r="G701" s="129"/>
      <c r="H701" s="72"/>
      <c r="I701" s="129"/>
      <c r="J701" s="381"/>
      <c r="K701" s="187">
        <v>4063</v>
      </c>
      <c r="L701" s="73" t="s">
        <v>6631</v>
      </c>
      <c r="M701" s="914">
        <v>1824685.9509099999</v>
      </c>
      <c r="N701" s="914">
        <v>5660336.9949200004</v>
      </c>
      <c r="O701" s="72" t="s">
        <v>41</v>
      </c>
      <c r="P701" s="72">
        <v>2</v>
      </c>
      <c r="Q701" s="73" t="s">
        <v>2156</v>
      </c>
      <c r="R701" s="74" t="s">
        <v>2156</v>
      </c>
      <c r="S701" s="656" t="s">
        <v>47</v>
      </c>
      <c r="T701" s="340" t="s">
        <v>6632</v>
      </c>
      <c r="U701" s="31">
        <v>20000</v>
      </c>
      <c r="V701" s="31"/>
      <c r="W701" s="31"/>
      <c r="X701" s="31"/>
      <c r="Y701" s="31"/>
      <c r="Z701" s="31"/>
      <c r="AA701" s="31" t="s">
        <v>16</v>
      </c>
      <c r="AB701" s="31" t="s">
        <v>85</v>
      </c>
      <c r="AC701" s="31">
        <v>3</v>
      </c>
      <c r="AD701" s="40" t="s">
        <v>6633</v>
      </c>
      <c r="AE701" s="40" t="s">
        <v>6630</v>
      </c>
      <c r="AF701" s="40" t="s">
        <v>6372</v>
      </c>
      <c r="AG701" s="744">
        <v>44258</v>
      </c>
      <c r="AH701" s="40"/>
      <c r="AI701" s="744">
        <v>44326</v>
      </c>
      <c r="AJ701" s="652" t="s">
        <v>37</v>
      </c>
    </row>
    <row r="702" spans="1:36" ht="65.25" thickBot="1" x14ac:dyDescent="0.3">
      <c r="A702" s="488"/>
      <c r="B702" s="486"/>
      <c r="C702" s="407"/>
      <c r="D702" s="572"/>
      <c r="E702" s="572"/>
      <c r="F702" s="541"/>
      <c r="G702" s="541"/>
      <c r="H702" s="407"/>
      <c r="I702" s="541"/>
      <c r="J702" s="121"/>
      <c r="K702" s="192"/>
      <c r="L702" s="79"/>
      <c r="M702" s="916"/>
      <c r="N702" s="916"/>
      <c r="O702" s="78"/>
      <c r="P702" s="78"/>
      <c r="Q702" s="79"/>
      <c r="R702" s="80"/>
      <c r="S702" s="657" t="s">
        <v>91</v>
      </c>
      <c r="T702" s="335" t="s">
        <v>6634</v>
      </c>
      <c r="U702" s="25">
        <v>200000</v>
      </c>
      <c r="V702" s="25"/>
      <c r="W702" s="25"/>
      <c r="X702" s="25"/>
      <c r="Y702" s="25"/>
      <c r="Z702" s="25"/>
      <c r="AA702" s="25" t="s">
        <v>16</v>
      </c>
      <c r="AB702" s="25" t="s">
        <v>85</v>
      </c>
      <c r="AC702" s="25">
        <v>3</v>
      </c>
      <c r="AD702" s="52" t="s">
        <v>6635</v>
      </c>
      <c r="AE702" s="52" t="s">
        <v>6630</v>
      </c>
      <c r="AF702" s="52" t="s">
        <v>6372</v>
      </c>
      <c r="AG702" s="745">
        <v>44258</v>
      </c>
      <c r="AH702" s="52"/>
      <c r="AI702" s="745">
        <v>44326</v>
      </c>
      <c r="AJ702" s="653" t="s">
        <v>37</v>
      </c>
    </row>
    <row r="703" spans="1:36" ht="65.25" thickBot="1" x14ac:dyDescent="0.3">
      <c r="A703" s="488"/>
      <c r="B703" s="486"/>
      <c r="C703" s="407"/>
      <c r="D703" s="572"/>
      <c r="E703" s="572"/>
      <c r="F703" s="541"/>
      <c r="G703" s="541"/>
      <c r="H703" s="407"/>
      <c r="I703" s="541"/>
      <c r="J703" s="121"/>
      <c r="K703" s="87">
        <v>4064</v>
      </c>
      <c r="L703" s="360" t="s">
        <v>6636</v>
      </c>
      <c r="M703" s="198">
        <v>1825428.62925</v>
      </c>
      <c r="N703" s="198">
        <v>5663090.5099099996</v>
      </c>
      <c r="O703" s="83" t="s">
        <v>41</v>
      </c>
      <c r="P703" s="83">
        <v>1</v>
      </c>
      <c r="Q703" s="360" t="s">
        <v>2156</v>
      </c>
      <c r="R703" s="88" t="s">
        <v>2156</v>
      </c>
      <c r="S703" s="683" t="s">
        <v>47</v>
      </c>
      <c r="T703" s="329" t="s">
        <v>6637</v>
      </c>
      <c r="U703" s="86">
        <v>25000</v>
      </c>
      <c r="V703" s="86"/>
      <c r="W703" s="86"/>
      <c r="X703" s="86">
        <v>25000</v>
      </c>
      <c r="Y703" s="86"/>
      <c r="Z703" s="86"/>
      <c r="AA703" s="86" t="s">
        <v>16</v>
      </c>
      <c r="AB703" s="86" t="s">
        <v>85</v>
      </c>
      <c r="AC703" s="86">
        <v>3</v>
      </c>
      <c r="AD703" s="92" t="s">
        <v>6638</v>
      </c>
      <c r="AE703" s="92" t="s">
        <v>6630</v>
      </c>
      <c r="AF703" s="92" t="s">
        <v>6372</v>
      </c>
      <c r="AG703" s="743">
        <v>44258</v>
      </c>
      <c r="AH703" s="92"/>
      <c r="AI703" s="743">
        <v>44326</v>
      </c>
      <c r="AJ703" s="1108" t="s">
        <v>37</v>
      </c>
    </row>
    <row r="704" spans="1:36" ht="64.5" x14ac:dyDescent="0.25">
      <c r="A704" s="488"/>
      <c r="B704" s="486"/>
      <c r="C704" s="407"/>
      <c r="D704" s="572"/>
      <c r="E704" s="572"/>
      <c r="F704" s="541"/>
      <c r="G704" s="541"/>
      <c r="H704" s="407"/>
      <c r="I704" s="541"/>
      <c r="J704" s="121"/>
      <c r="K704" s="187">
        <v>4065</v>
      </c>
      <c r="L704" s="73" t="s">
        <v>6639</v>
      </c>
      <c r="M704" s="914">
        <v>1826853.4506399999</v>
      </c>
      <c r="N704" s="914">
        <v>5665243.8099999996</v>
      </c>
      <c r="O704" s="72" t="s">
        <v>41</v>
      </c>
      <c r="P704" s="72">
        <v>3</v>
      </c>
      <c r="Q704" s="73" t="s">
        <v>2156</v>
      </c>
      <c r="R704" s="74" t="s">
        <v>2156</v>
      </c>
      <c r="S704" s="656" t="s">
        <v>47</v>
      </c>
      <c r="T704" s="340" t="s">
        <v>6640</v>
      </c>
      <c r="U704" s="31">
        <v>22000</v>
      </c>
      <c r="V704" s="31"/>
      <c r="W704" s="31"/>
      <c r="X704" s="31"/>
      <c r="Y704" s="31"/>
      <c r="Z704" s="31"/>
      <c r="AA704" s="31" t="s">
        <v>16</v>
      </c>
      <c r="AB704" s="31" t="s">
        <v>85</v>
      </c>
      <c r="AC704" s="31">
        <v>3</v>
      </c>
      <c r="AD704" s="40" t="s">
        <v>6641</v>
      </c>
      <c r="AE704" s="40" t="s">
        <v>6630</v>
      </c>
      <c r="AF704" s="40" t="s">
        <v>6372</v>
      </c>
      <c r="AG704" s="744">
        <v>44258</v>
      </c>
      <c r="AH704" s="40"/>
      <c r="AI704" s="744">
        <v>44326</v>
      </c>
      <c r="AJ704" s="652" t="s">
        <v>37</v>
      </c>
    </row>
    <row r="705" spans="1:36" ht="64.5" x14ac:dyDescent="0.25">
      <c r="A705" s="488"/>
      <c r="B705" s="486"/>
      <c r="C705" s="407"/>
      <c r="D705" s="572"/>
      <c r="E705" s="572"/>
      <c r="F705" s="541"/>
      <c r="G705" s="541"/>
      <c r="H705" s="407"/>
      <c r="I705" s="541"/>
      <c r="J705" s="121"/>
      <c r="K705" s="188"/>
      <c r="L705" s="76"/>
      <c r="M705" s="915"/>
      <c r="N705" s="915"/>
      <c r="O705" s="75"/>
      <c r="P705" s="75"/>
      <c r="Q705" s="76"/>
      <c r="R705" s="77"/>
      <c r="S705" s="658" t="s">
        <v>91</v>
      </c>
      <c r="T705" s="179" t="s">
        <v>6642</v>
      </c>
      <c r="U705" s="24">
        <v>30600</v>
      </c>
      <c r="V705" s="24"/>
      <c r="W705" s="24"/>
      <c r="X705" s="24"/>
      <c r="Y705" s="24"/>
      <c r="Z705" s="24"/>
      <c r="AA705" s="24" t="s">
        <v>16</v>
      </c>
      <c r="AB705" s="24" t="s">
        <v>85</v>
      </c>
      <c r="AC705" s="24">
        <v>3</v>
      </c>
      <c r="AD705" s="46" t="s">
        <v>6641</v>
      </c>
      <c r="AE705" s="46" t="s">
        <v>6630</v>
      </c>
      <c r="AF705" s="46" t="s">
        <v>6372</v>
      </c>
      <c r="AG705" s="746">
        <v>44258</v>
      </c>
      <c r="AH705" s="46"/>
      <c r="AI705" s="746">
        <v>44326</v>
      </c>
      <c r="AJ705" s="1107" t="s">
        <v>37</v>
      </c>
    </row>
    <row r="706" spans="1:36" ht="65.25" thickBot="1" x14ac:dyDescent="0.3">
      <c r="A706" s="488"/>
      <c r="B706" s="486"/>
      <c r="C706" s="407"/>
      <c r="D706" s="572"/>
      <c r="E706" s="572"/>
      <c r="F706" s="541"/>
      <c r="G706" s="541"/>
      <c r="H706" s="407"/>
      <c r="I706" s="541"/>
      <c r="J706" s="121"/>
      <c r="K706" s="192"/>
      <c r="L706" s="79"/>
      <c r="M706" s="916"/>
      <c r="N706" s="916"/>
      <c r="O706" s="78"/>
      <c r="P706" s="78"/>
      <c r="Q706" s="79"/>
      <c r="R706" s="80"/>
      <c r="S706" s="657" t="s">
        <v>92</v>
      </c>
      <c r="T706" s="335" t="s">
        <v>6643</v>
      </c>
      <c r="U706" s="25">
        <v>59000</v>
      </c>
      <c r="V706" s="25"/>
      <c r="W706" s="25"/>
      <c r="X706" s="25"/>
      <c r="Y706" s="25"/>
      <c r="Z706" s="25"/>
      <c r="AA706" s="25" t="s">
        <v>16</v>
      </c>
      <c r="AB706" s="25" t="s">
        <v>85</v>
      </c>
      <c r="AC706" s="25">
        <v>3</v>
      </c>
      <c r="AD706" s="52" t="s">
        <v>6644</v>
      </c>
      <c r="AE706" s="52" t="s">
        <v>6630</v>
      </c>
      <c r="AF706" s="52" t="s">
        <v>6372</v>
      </c>
      <c r="AG706" s="745">
        <v>44258</v>
      </c>
      <c r="AH706" s="52"/>
      <c r="AI706" s="745">
        <v>44326</v>
      </c>
      <c r="AJ706" s="653" t="s">
        <v>37</v>
      </c>
    </row>
    <row r="707" spans="1:36" ht="77.25" x14ac:dyDescent="0.25">
      <c r="A707" s="488"/>
      <c r="B707" s="486"/>
      <c r="C707" s="407"/>
      <c r="D707" s="572"/>
      <c r="E707" s="572"/>
      <c r="F707" s="541"/>
      <c r="G707" s="541"/>
      <c r="H707" s="407"/>
      <c r="I707" s="541"/>
      <c r="J707" s="121"/>
      <c r="K707" s="187">
        <v>4066</v>
      </c>
      <c r="L707" s="73" t="s">
        <v>6645</v>
      </c>
      <c r="M707" s="914">
        <v>1826952.1007399999</v>
      </c>
      <c r="N707" s="914">
        <v>5665435.1314200005</v>
      </c>
      <c r="O707" s="72" t="s">
        <v>41</v>
      </c>
      <c r="P707" s="72">
        <v>2</v>
      </c>
      <c r="Q707" s="73" t="s">
        <v>2156</v>
      </c>
      <c r="R707" s="74" t="s">
        <v>2156</v>
      </c>
      <c r="S707" s="656" t="s">
        <v>47</v>
      </c>
      <c r="T707" s="340" t="s">
        <v>6646</v>
      </c>
      <c r="U707" s="31">
        <v>40000</v>
      </c>
      <c r="V707" s="31"/>
      <c r="W707" s="31"/>
      <c r="X707" s="31"/>
      <c r="Y707" s="31"/>
      <c r="Z707" s="31"/>
      <c r="AA707" s="31" t="s">
        <v>16</v>
      </c>
      <c r="AB707" s="31" t="s">
        <v>85</v>
      </c>
      <c r="AC707" s="31">
        <v>3</v>
      </c>
      <c r="AD707" s="40" t="s">
        <v>6647</v>
      </c>
      <c r="AE707" s="40" t="s">
        <v>6630</v>
      </c>
      <c r="AF707" s="40" t="s">
        <v>6372</v>
      </c>
      <c r="AG707" s="744">
        <v>44258</v>
      </c>
      <c r="AH707" s="40"/>
      <c r="AI707" s="744">
        <v>44326</v>
      </c>
      <c r="AJ707" s="652" t="s">
        <v>37</v>
      </c>
    </row>
    <row r="708" spans="1:36" ht="65.25" thickBot="1" x14ac:dyDescent="0.3">
      <c r="A708" s="488"/>
      <c r="B708" s="486"/>
      <c r="C708" s="407"/>
      <c r="D708" s="572"/>
      <c r="E708" s="572"/>
      <c r="F708" s="541"/>
      <c r="G708" s="541"/>
      <c r="H708" s="407"/>
      <c r="I708" s="541"/>
      <c r="J708" s="121"/>
      <c r="K708" s="192"/>
      <c r="L708" s="79"/>
      <c r="M708" s="916"/>
      <c r="N708" s="916"/>
      <c r="O708" s="78"/>
      <c r="P708" s="78"/>
      <c r="Q708" s="79"/>
      <c r="R708" s="80"/>
      <c r="S708" s="657" t="s">
        <v>91</v>
      </c>
      <c r="T708" s="335" t="s">
        <v>6648</v>
      </c>
      <c r="U708" s="25">
        <v>52600</v>
      </c>
      <c r="V708" s="25"/>
      <c r="W708" s="25"/>
      <c r="X708" s="25"/>
      <c r="Y708" s="25"/>
      <c r="Z708" s="25"/>
      <c r="AA708" s="25" t="s">
        <v>16</v>
      </c>
      <c r="AB708" s="25" t="s">
        <v>85</v>
      </c>
      <c r="AC708" s="25">
        <v>3</v>
      </c>
      <c r="AD708" s="52" t="s">
        <v>6649</v>
      </c>
      <c r="AE708" s="52" t="s">
        <v>6630</v>
      </c>
      <c r="AF708" s="52" t="s">
        <v>6372</v>
      </c>
      <c r="AG708" s="745">
        <v>44258</v>
      </c>
      <c r="AH708" s="52"/>
      <c r="AI708" s="745">
        <v>44326</v>
      </c>
      <c r="AJ708" s="653" t="s">
        <v>37</v>
      </c>
    </row>
    <row r="709" spans="1:36" ht="64.5" x14ac:dyDescent="0.25">
      <c r="A709" s="488"/>
      <c r="B709" s="486"/>
      <c r="C709" s="407"/>
      <c r="D709" s="572"/>
      <c r="E709" s="572"/>
      <c r="F709" s="541"/>
      <c r="G709" s="541"/>
      <c r="H709" s="407"/>
      <c r="I709" s="541"/>
      <c r="J709" s="121"/>
      <c r="K709" s="187">
        <v>4067</v>
      </c>
      <c r="L709" s="73" t="s">
        <v>6650</v>
      </c>
      <c r="M709" s="914">
        <v>1827633.3096100001</v>
      </c>
      <c r="N709" s="914">
        <v>5666322.7955200002</v>
      </c>
      <c r="O709" s="72" t="s">
        <v>41</v>
      </c>
      <c r="P709" s="72">
        <v>3</v>
      </c>
      <c r="Q709" s="73" t="s">
        <v>2156</v>
      </c>
      <c r="R709" s="74" t="s">
        <v>2156</v>
      </c>
      <c r="S709" s="656" t="s">
        <v>47</v>
      </c>
      <c r="T709" s="340" t="s">
        <v>6637</v>
      </c>
      <c r="U709" s="31">
        <v>25000</v>
      </c>
      <c r="V709" s="31"/>
      <c r="W709" s="31"/>
      <c r="X709" s="31"/>
      <c r="Y709" s="31"/>
      <c r="Z709" s="31"/>
      <c r="AA709" s="31" t="s">
        <v>16</v>
      </c>
      <c r="AB709" s="31" t="s">
        <v>85</v>
      </c>
      <c r="AC709" s="31">
        <v>3</v>
      </c>
      <c r="AD709" s="40" t="s">
        <v>6638</v>
      </c>
      <c r="AE709" s="40" t="s">
        <v>6630</v>
      </c>
      <c r="AF709" s="40" t="s">
        <v>6372</v>
      </c>
      <c r="AG709" s="744">
        <v>44258</v>
      </c>
      <c r="AH709" s="40"/>
      <c r="AI709" s="744">
        <v>44326</v>
      </c>
      <c r="AJ709" s="652" t="s">
        <v>37</v>
      </c>
    </row>
    <row r="710" spans="1:36" ht="77.25" x14ac:dyDescent="0.25">
      <c r="A710" s="488"/>
      <c r="B710" s="486"/>
      <c r="C710" s="407"/>
      <c r="D710" s="572"/>
      <c r="E710" s="572"/>
      <c r="F710" s="541"/>
      <c r="G710" s="541"/>
      <c r="H710" s="407"/>
      <c r="I710" s="541"/>
      <c r="J710" s="121"/>
      <c r="K710" s="188"/>
      <c r="L710" s="76"/>
      <c r="M710" s="915"/>
      <c r="N710" s="915"/>
      <c r="O710" s="75"/>
      <c r="P710" s="75"/>
      <c r="Q710" s="76"/>
      <c r="R710" s="77"/>
      <c r="S710" s="658" t="s">
        <v>91</v>
      </c>
      <c r="T710" s="179" t="s">
        <v>6646</v>
      </c>
      <c r="U710" s="24">
        <v>40000</v>
      </c>
      <c r="V710" s="24"/>
      <c r="W710" s="24"/>
      <c r="X710" s="24"/>
      <c r="Y710" s="24"/>
      <c r="Z710" s="24"/>
      <c r="AA710" s="24" t="s">
        <v>16</v>
      </c>
      <c r="AB710" s="24" t="s">
        <v>85</v>
      </c>
      <c r="AC710" s="24">
        <v>3</v>
      </c>
      <c r="AD710" s="46" t="s">
        <v>6647</v>
      </c>
      <c r="AE710" s="46" t="s">
        <v>6630</v>
      </c>
      <c r="AF710" s="46" t="s">
        <v>6372</v>
      </c>
      <c r="AG710" s="746">
        <v>44258</v>
      </c>
      <c r="AH710" s="46"/>
      <c r="AI710" s="746">
        <v>44326</v>
      </c>
      <c r="AJ710" s="1107" t="s">
        <v>37</v>
      </c>
    </row>
    <row r="711" spans="1:36" ht="65.25" thickBot="1" x14ac:dyDescent="0.3">
      <c r="A711" s="488"/>
      <c r="B711" s="486"/>
      <c r="C711" s="407"/>
      <c r="D711" s="572"/>
      <c r="E711" s="572"/>
      <c r="F711" s="541"/>
      <c r="G711" s="541"/>
      <c r="H711" s="407"/>
      <c r="I711" s="541"/>
      <c r="J711" s="121"/>
      <c r="K711" s="192"/>
      <c r="L711" s="79"/>
      <c r="M711" s="916"/>
      <c r="N711" s="916"/>
      <c r="O711" s="78"/>
      <c r="P711" s="78"/>
      <c r="Q711" s="79"/>
      <c r="R711" s="80"/>
      <c r="S711" s="657" t="s">
        <v>92</v>
      </c>
      <c r="T711" s="335" t="s">
        <v>6643</v>
      </c>
      <c r="U711" s="25">
        <v>59000</v>
      </c>
      <c r="V711" s="25"/>
      <c r="W711" s="25"/>
      <c r="X711" s="25"/>
      <c r="Y711" s="25"/>
      <c r="Z711" s="25"/>
      <c r="AA711" s="25" t="s">
        <v>16</v>
      </c>
      <c r="AB711" s="25" t="s">
        <v>85</v>
      </c>
      <c r="AC711" s="25">
        <v>3</v>
      </c>
      <c r="AD711" s="52" t="s">
        <v>6644</v>
      </c>
      <c r="AE711" s="52" t="s">
        <v>6630</v>
      </c>
      <c r="AF711" s="52" t="s">
        <v>6372</v>
      </c>
      <c r="AG711" s="745">
        <v>44258</v>
      </c>
      <c r="AH711" s="52"/>
      <c r="AI711" s="745">
        <v>44326</v>
      </c>
      <c r="AJ711" s="653" t="s">
        <v>37</v>
      </c>
    </row>
    <row r="712" spans="1:36" ht="65.25" thickBot="1" x14ac:dyDescent="0.3">
      <c r="A712" s="488"/>
      <c r="B712" s="486"/>
      <c r="C712" s="407"/>
      <c r="D712" s="572"/>
      <c r="E712" s="572"/>
      <c r="F712" s="541"/>
      <c r="G712" s="541"/>
      <c r="H712" s="407"/>
      <c r="I712" s="541"/>
      <c r="J712" s="121"/>
      <c r="K712" s="87">
        <v>4068</v>
      </c>
      <c r="L712" s="360" t="s">
        <v>6651</v>
      </c>
      <c r="M712" s="198">
        <v>1827810.4219</v>
      </c>
      <c r="N712" s="198">
        <v>5667337.8476400003</v>
      </c>
      <c r="O712" s="83" t="s">
        <v>41</v>
      </c>
      <c r="P712" s="83">
        <v>1</v>
      </c>
      <c r="Q712" s="360" t="s">
        <v>2156</v>
      </c>
      <c r="R712" s="88" t="s">
        <v>2156</v>
      </c>
      <c r="S712" s="683" t="s">
        <v>47</v>
      </c>
      <c r="T712" s="329" t="s">
        <v>6652</v>
      </c>
      <c r="U712" s="86">
        <v>12000</v>
      </c>
      <c r="V712" s="86"/>
      <c r="W712" s="86"/>
      <c r="X712" s="86"/>
      <c r="Y712" s="86"/>
      <c r="Z712" s="86"/>
      <c r="AA712" s="86" t="s">
        <v>16</v>
      </c>
      <c r="AB712" s="86" t="s">
        <v>85</v>
      </c>
      <c r="AC712" s="86">
        <v>3</v>
      </c>
      <c r="AD712" s="92" t="s">
        <v>6653</v>
      </c>
      <c r="AE712" s="92" t="s">
        <v>6630</v>
      </c>
      <c r="AF712" s="92" t="s">
        <v>6372</v>
      </c>
      <c r="AG712" s="743">
        <v>44258</v>
      </c>
      <c r="AH712" s="92"/>
      <c r="AI712" s="743">
        <v>44326</v>
      </c>
      <c r="AJ712" s="1108" t="s">
        <v>37</v>
      </c>
    </row>
    <row r="713" spans="1:36" ht="78" thickBot="1" x14ac:dyDescent="0.3">
      <c r="A713" s="488"/>
      <c r="B713" s="486"/>
      <c r="C713" s="407"/>
      <c r="D713" s="572"/>
      <c r="E713" s="572"/>
      <c r="F713" s="541"/>
      <c r="G713" s="541"/>
      <c r="H713" s="407"/>
      <c r="I713" s="541"/>
      <c r="J713" s="121"/>
      <c r="K713" s="87">
        <v>4069</v>
      </c>
      <c r="L713" s="360" t="s">
        <v>6654</v>
      </c>
      <c r="M713" s="198">
        <v>1827687.0253399999</v>
      </c>
      <c r="N713" s="198">
        <v>5672175.4745300002</v>
      </c>
      <c r="O713" s="83" t="s">
        <v>41</v>
      </c>
      <c r="P713" s="83">
        <v>1</v>
      </c>
      <c r="Q713" s="360" t="s">
        <v>2156</v>
      </c>
      <c r="R713" s="88" t="s">
        <v>2156</v>
      </c>
      <c r="S713" s="683" t="s">
        <v>47</v>
      </c>
      <c r="T713" s="329" t="s">
        <v>6646</v>
      </c>
      <c r="U713" s="86">
        <v>40000</v>
      </c>
      <c r="V713" s="86"/>
      <c r="W713" s="86"/>
      <c r="X713" s="86"/>
      <c r="Y713" s="86"/>
      <c r="Z713" s="86"/>
      <c r="AA713" s="86" t="s">
        <v>16</v>
      </c>
      <c r="AB713" s="86" t="s">
        <v>85</v>
      </c>
      <c r="AC713" s="86">
        <v>3</v>
      </c>
      <c r="AD713" s="92" t="s">
        <v>6647</v>
      </c>
      <c r="AE713" s="92" t="s">
        <v>6630</v>
      </c>
      <c r="AF713" s="92" t="s">
        <v>6372</v>
      </c>
      <c r="AG713" s="743">
        <v>44258</v>
      </c>
      <c r="AH713" s="92"/>
      <c r="AI713" s="743">
        <v>44326</v>
      </c>
      <c r="AJ713" s="1108" t="s">
        <v>37</v>
      </c>
    </row>
    <row r="714" spans="1:36" ht="77.25" x14ac:dyDescent="0.25">
      <c r="A714" s="341" t="s">
        <v>1081</v>
      </c>
      <c r="B714" s="181" t="s">
        <v>4994</v>
      </c>
      <c r="C714" s="125">
        <v>237</v>
      </c>
      <c r="D714" s="585" t="s">
        <v>57</v>
      </c>
      <c r="E714" s="585"/>
      <c r="F714" s="126"/>
      <c r="G714" s="126"/>
      <c r="H714" s="125"/>
      <c r="I714" s="126"/>
      <c r="J714" s="247"/>
      <c r="K714" s="189">
        <v>4070</v>
      </c>
      <c r="L714" s="355" t="s">
        <v>6655</v>
      </c>
      <c r="M714" s="911">
        <v>1829035.1733599999</v>
      </c>
      <c r="N714" s="911">
        <v>5675698.08782</v>
      </c>
      <c r="O714" s="125" t="s">
        <v>41</v>
      </c>
      <c r="P714" s="125">
        <v>3</v>
      </c>
      <c r="Q714" s="355" t="s">
        <v>2156</v>
      </c>
      <c r="R714" s="134" t="s">
        <v>2156</v>
      </c>
      <c r="S714" s="656" t="s">
        <v>47</v>
      </c>
      <c r="T714" s="340" t="s">
        <v>6612</v>
      </c>
      <c r="U714" s="31">
        <v>3000</v>
      </c>
      <c r="V714" s="31"/>
      <c r="W714" s="31"/>
      <c r="X714" s="31"/>
      <c r="Y714" s="31"/>
      <c r="Z714" s="31"/>
      <c r="AA714" s="31" t="s">
        <v>85</v>
      </c>
      <c r="AB714" s="31" t="s">
        <v>85</v>
      </c>
      <c r="AC714" s="31">
        <v>3</v>
      </c>
      <c r="AD714" s="40" t="s">
        <v>6656</v>
      </c>
      <c r="AE714" s="40" t="s">
        <v>6630</v>
      </c>
      <c r="AF714" s="40" t="s">
        <v>6372</v>
      </c>
      <c r="AG714" s="744">
        <v>44258</v>
      </c>
      <c r="AH714" s="40"/>
      <c r="AI714" s="744">
        <v>44326</v>
      </c>
      <c r="AJ714" s="652" t="s">
        <v>37</v>
      </c>
    </row>
    <row r="715" spans="1:36" ht="64.5" x14ac:dyDescent="0.25">
      <c r="A715" s="339"/>
      <c r="B715" s="338"/>
      <c r="C715" s="277"/>
      <c r="D715" s="565"/>
      <c r="E715" s="565"/>
      <c r="F715" s="276"/>
      <c r="G715" s="276"/>
      <c r="H715" s="277"/>
      <c r="I715" s="276"/>
      <c r="J715" s="122"/>
      <c r="K715" s="191"/>
      <c r="L715" s="356"/>
      <c r="M715" s="938"/>
      <c r="N715" s="938"/>
      <c r="O715" s="277"/>
      <c r="P715" s="277"/>
      <c r="Q715" s="356"/>
      <c r="R715" s="98"/>
      <c r="S715" s="658" t="s">
        <v>91</v>
      </c>
      <c r="T715" s="337" t="s">
        <v>6637</v>
      </c>
      <c r="U715" s="2">
        <v>25000</v>
      </c>
      <c r="AA715" s="2" t="s">
        <v>16</v>
      </c>
      <c r="AB715" s="2" t="s">
        <v>85</v>
      </c>
      <c r="AC715" s="2">
        <v>3</v>
      </c>
      <c r="AD715" s="3" t="s">
        <v>6638</v>
      </c>
      <c r="AE715" s="3" t="s">
        <v>6630</v>
      </c>
      <c r="AF715" s="3" t="s">
        <v>6372</v>
      </c>
      <c r="AG715" s="747">
        <v>44258</v>
      </c>
      <c r="AI715" s="747">
        <v>44326</v>
      </c>
      <c r="AJ715" s="1107" t="s">
        <v>37</v>
      </c>
    </row>
    <row r="716" spans="1:36" ht="65.25" thickBot="1" x14ac:dyDescent="0.3">
      <c r="A716" s="336"/>
      <c r="B716" s="196"/>
      <c r="C716" s="96"/>
      <c r="D716" s="566"/>
      <c r="E716" s="566"/>
      <c r="F716" s="107"/>
      <c r="G716" s="107"/>
      <c r="H716" s="96"/>
      <c r="I716" s="107"/>
      <c r="J716" s="123"/>
      <c r="K716" s="190"/>
      <c r="L716" s="357"/>
      <c r="M716" s="912"/>
      <c r="N716" s="912"/>
      <c r="O716" s="96"/>
      <c r="P716" s="96"/>
      <c r="Q716" s="357"/>
      <c r="R716" s="100"/>
      <c r="S716" s="657" t="s">
        <v>92</v>
      </c>
      <c r="T716" s="335" t="s">
        <v>6657</v>
      </c>
      <c r="U716" s="25">
        <v>85000</v>
      </c>
      <c r="V716" s="25"/>
      <c r="W716" s="25"/>
      <c r="X716" s="25"/>
      <c r="Y716" s="25"/>
      <c r="Z716" s="25"/>
      <c r="AA716" s="25" t="s">
        <v>16</v>
      </c>
      <c r="AB716" s="25" t="s">
        <v>85</v>
      </c>
      <c r="AC716" s="25">
        <v>3</v>
      </c>
      <c r="AD716" s="52" t="s">
        <v>6658</v>
      </c>
      <c r="AE716" s="52" t="s">
        <v>6630</v>
      </c>
      <c r="AF716" s="52" t="s">
        <v>6372</v>
      </c>
      <c r="AG716" s="25">
        <v>44258</v>
      </c>
      <c r="AH716" s="52"/>
      <c r="AI716" s="745">
        <v>44326</v>
      </c>
      <c r="AJ716" s="653" t="s">
        <v>37</v>
      </c>
    </row>
    <row r="717" spans="1:36" ht="51.75" x14ac:dyDescent="0.25">
      <c r="A717" s="487" t="s">
        <v>2706</v>
      </c>
      <c r="B717" s="128" t="s">
        <v>6826</v>
      </c>
      <c r="C717" s="72">
        <v>269</v>
      </c>
      <c r="D717" s="586" t="s">
        <v>53</v>
      </c>
      <c r="E717" s="586" t="s">
        <v>57</v>
      </c>
      <c r="F717" s="129"/>
      <c r="G717" s="129"/>
      <c r="H717" s="72"/>
      <c r="I717" s="129"/>
      <c r="J717" s="381"/>
      <c r="K717" s="187">
        <v>849</v>
      </c>
      <c r="L717" s="73" t="s">
        <v>4892</v>
      </c>
      <c r="M717" s="914">
        <v>1962526.0815000001</v>
      </c>
      <c r="N717" s="914">
        <v>5776514.2235000003</v>
      </c>
      <c r="O717" s="72" t="s">
        <v>4921</v>
      </c>
      <c r="P717" s="72">
        <v>4</v>
      </c>
      <c r="Q717" s="73" t="s">
        <v>7878</v>
      </c>
      <c r="R717" s="74" t="s">
        <v>2156</v>
      </c>
      <c r="S717" s="38" t="s">
        <v>47</v>
      </c>
      <c r="T717" s="39" t="s">
        <v>4883</v>
      </c>
      <c r="U717" s="31">
        <v>5600</v>
      </c>
      <c r="V717" s="31"/>
      <c r="W717" s="31"/>
      <c r="X717" s="31">
        <v>1800</v>
      </c>
      <c r="Y717" s="31"/>
      <c r="Z717" s="31"/>
      <c r="AA717" s="31" t="s">
        <v>16</v>
      </c>
      <c r="AB717" s="31" t="s">
        <v>10</v>
      </c>
      <c r="AC717" s="31">
        <v>2</v>
      </c>
      <c r="AD717" s="40" t="s">
        <v>4884</v>
      </c>
      <c r="AE717" s="40" t="s">
        <v>7908</v>
      </c>
      <c r="AF717" s="40" t="s">
        <v>37</v>
      </c>
      <c r="AG717" s="744">
        <v>44347</v>
      </c>
      <c r="AH717" s="40"/>
      <c r="AI717" s="31"/>
      <c r="AJ717" s="652"/>
    </row>
    <row r="718" spans="1:36" ht="90" x14ac:dyDescent="0.25">
      <c r="A718" s="488"/>
      <c r="B718" s="131"/>
      <c r="C718" s="75"/>
      <c r="D718" s="568"/>
      <c r="E718" s="568"/>
      <c r="F718" s="118"/>
      <c r="G718" s="118"/>
      <c r="H718" s="75"/>
      <c r="I718" s="118"/>
      <c r="J718" s="121"/>
      <c r="K718" s="188"/>
      <c r="L718" s="76"/>
      <c r="M718" s="915"/>
      <c r="N718" s="915"/>
      <c r="O718" s="75"/>
      <c r="P718" s="75"/>
      <c r="Q718" s="76"/>
      <c r="R718" s="77"/>
      <c r="S718" s="42" t="s">
        <v>91</v>
      </c>
      <c r="T718" s="43" t="s">
        <v>4885</v>
      </c>
      <c r="U718" s="24">
        <v>5600</v>
      </c>
      <c r="V718" s="24"/>
      <c r="W718" s="24"/>
      <c r="X718" s="24"/>
      <c r="Y718" s="24"/>
      <c r="Z718" s="24"/>
      <c r="AA718" s="24" t="s">
        <v>85</v>
      </c>
      <c r="AB718" s="24" t="s">
        <v>16</v>
      </c>
      <c r="AC718" s="24">
        <v>3</v>
      </c>
      <c r="AD718" s="46" t="s">
        <v>4886</v>
      </c>
      <c r="AE718" s="46" t="s">
        <v>4859</v>
      </c>
      <c r="AF718" s="46" t="s">
        <v>37</v>
      </c>
      <c r="AG718" s="746">
        <v>44347</v>
      </c>
      <c r="AH718" s="46"/>
      <c r="AI718" s="24"/>
      <c r="AJ718" s="1107"/>
    </row>
    <row r="719" spans="1:36" ht="64.5" x14ac:dyDescent="0.25">
      <c r="A719" s="488"/>
      <c r="B719" s="131"/>
      <c r="C719" s="75"/>
      <c r="D719" s="568"/>
      <c r="E719" s="568"/>
      <c r="F719" s="118"/>
      <c r="G719" s="118"/>
      <c r="H719" s="75"/>
      <c r="I719" s="118"/>
      <c r="J719" s="121"/>
      <c r="K719" s="188"/>
      <c r="L719" s="76"/>
      <c r="M719" s="915"/>
      <c r="N719" s="915"/>
      <c r="O719" s="75"/>
      <c r="P719" s="75"/>
      <c r="Q719" s="76"/>
      <c r="R719" s="77"/>
      <c r="S719" s="42" t="s">
        <v>92</v>
      </c>
      <c r="T719" s="43" t="s">
        <v>4887</v>
      </c>
      <c r="U719" s="24">
        <v>7631</v>
      </c>
      <c r="V719" s="24">
        <f>7631-51</f>
        <v>7580</v>
      </c>
      <c r="W719" s="24">
        <f>7631+51</f>
        <v>7682</v>
      </c>
      <c r="X719" s="24"/>
      <c r="Y719" s="24"/>
      <c r="Z719" s="24"/>
      <c r="AA719" s="24" t="s">
        <v>85</v>
      </c>
      <c r="AB719" s="24" t="s">
        <v>16</v>
      </c>
      <c r="AC719" s="24">
        <v>3</v>
      </c>
      <c r="AD719" s="46" t="s">
        <v>4888</v>
      </c>
      <c r="AE719" s="46" t="s">
        <v>4859</v>
      </c>
      <c r="AF719" s="46" t="s">
        <v>37</v>
      </c>
      <c r="AG719" s="746">
        <v>44347</v>
      </c>
      <c r="AH719" s="46"/>
      <c r="AI719" s="24"/>
      <c r="AJ719" s="1107"/>
    </row>
    <row r="720" spans="1:36" ht="52.5" thickBot="1" x14ac:dyDescent="0.3">
      <c r="A720" s="488"/>
      <c r="B720" s="131"/>
      <c r="C720" s="75"/>
      <c r="D720" s="568"/>
      <c r="E720" s="568"/>
      <c r="F720" s="118"/>
      <c r="G720" s="118"/>
      <c r="H720" s="75"/>
      <c r="I720" s="118"/>
      <c r="J720" s="121"/>
      <c r="K720" s="192"/>
      <c r="L720" s="79"/>
      <c r="M720" s="916"/>
      <c r="N720" s="916"/>
      <c r="O720" s="78"/>
      <c r="P720" s="78"/>
      <c r="Q720" s="79"/>
      <c r="R720" s="80"/>
      <c r="S720" s="48" t="s">
        <v>99</v>
      </c>
      <c r="T720" s="49" t="s">
        <v>4889</v>
      </c>
      <c r="U720" s="25"/>
      <c r="V720" s="25"/>
      <c r="W720" s="25"/>
      <c r="X720" s="25">
        <v>7631</v>
      </c>
      <c r="Y720" s="25">
        <f>7631-51</f>
        <v>7580</v>
      </c>
      <c r="Z720" s="25">
        <f>7631+51</f>
        <v>7682</v>
      </c>
      <c r="AA720" s="25" t="s">
        <v>85</v>
      </c>
      <c r="AB720" s="25" t="s">
        <v>16</v>
      </c>
      <c r="AC720" s="25">
        <v>3</v>
      </c>
      <c r="AD720" s="52" t="s">
        <v>4890</v>
      </c>
      <c r="AE720" s="52" t="s">
        <v>4859</v>
      </c>
      <c r="AF720" s="52" t="s">
        <v>37</v>
      </c>
      <c r="AG720" s="745">
        <v>44347</v>
      </c>
      <c r="AH720" s="52"/>
      <c r="AI720" s="25"/>
      <c r="AJ720" s="653"/>
    </row>
    <row r="721" spans="1:36" ht="64.5" x14ac:dyDescent="0.25">
      <c r="A721" s="488"/>
      <c r="B721" s="131"/>
      <c r="C721" s="75"/>
      <c r="D721" s="568"/>
      <c r="E721" s="568"/>
      <c r="F721" s="118"/>
      <c r="G721" s="118"/>
      <c r="H721" s="75"/>
      <c r="I721" s="118"/>
      <c r="J721" s="121"/>
      <c r="K721" s="187">
        <v>850</v>
      </c>
      <c r="L721" s="73" t="s">
        <v>4891</v>
      </c>
      <c r="M721" s="914">
        <v>1962529.2024999999</v>
      </c>
      <c r="N721" s="914">
        <v>5776503.7254999997</v>
      </c>
      <c r="O721" s="72" t="s">
        <v>41</v>
      </c>
      <c r="P721" s="72">
        <v>2</v>
      </c>
      <c r="Q721" s="73" t="s">
        <v>2156</v>
      </c>
      <c r="R721" s="74" t="s">
        <v>2156</v>
      </c>
      <c r="S721" s="38" t="s">
        <v>47</v>
      </c>
      <c r="T721" s="39" t="s">
        <v>4893</v>
      </c>
      <c r="U721" s="31">
        <v>3364</v>
      </c>
      <c r="V721" s="31">
        <f>3364-38</f>
        <v>3326</v>
      </c>
      <c r="W721" s="31">
        <f>3364+38</f>
        <v>3402</v>
      </c>
      <c r="X721" s="31">
        <v>1800</v>
      </c>
      <c r="Y721" s="31"/>
      <c r="Z721" s="31"/>
      <c r="AA721" s="31" t="s">
        <v>16</v>
      </c>
      <c r="AB721" s="31" t="s">
        <v>10</v>
      </c>
      <c r="AC721" s="31">
        <v>2</v>
      </c>
      <c r="AD721" s="40" t="s">
        <v>4894</v>
      </c>
      <c r="AE721" s="40" t="s">
        <v>7908</v>
      </c>
      <c r="AF721" s="40" t="s">
        <v>37</v>
      </c>
      <c r="AG721" s="744">
        <v>44347</v>
      </c>
      <c r="AH721" s="40"/>
      <c r="AI721" s="31"/>
      <c r="AJ721" s="652"/>
    </row>
    <row r="722" spans="1:36" ht="78" thickBot="1" x14ac:dyDescent="0.3">
      <c r="A722" s="488"/>
      <c r="B722" s="131"/>
      <c r="C722" s="75"/>
      <c r="D722" s="568"/>
      <c r="E722" s="568"/>
      <c r="F722" s="118"/>
      <c r="G722" s="118"/>
      <c r="H722" s="75"/>
      <c r="I722" s="118"/>
      <c r="J722" s="121"/>
      <c r="K722" s="188"/>
      <c r="L722" s="76"/>
      <c r="M722" s="915"/>
      <c r="N722" s="915"/>
      <c r="O722" s="75"/>
      <c r="P722" s="75"/>
      <c r="Q722" s="76"/>
      <c r="R722" s="77"/>
      <c r="S722" s="48" t="s">
        <v>91</v>
      </c>
      <c r="T722" s="49" t="s">
        <v>4896</v>
      </c>
      <c r="U722" s="25"/>
      <c r="V722" s="25"/>
      <c r="W722" s="25"/>
      <c r="X722" s="25"/>
      <c r="Y722" s="25"/>
      <c r="Z722" s="25"/>
      <c r="AA722" s="25" t="s">
        <v>16</v>
      </c>
      <c r="AB722" s="25" t="s">
        <v>10</v>
      </c>
      <c r="AC722" s="25">
        <v>2</v>
      </c>
      <c r="AD722" s="52" t="s">
        <v>4897</v>
      </c>
      <c r="AE722" s="52" t="s">
        <v>4859</v>
      </c>
      <c r="AF722" s="52" t="s">
        <v>37</v>
      </c>
      <c r="AG722" s="745">
        <v>44347</v>
      </c>
      <c r="AH722" s="52"/>
      <c r="AI722" s="25"/>
      <c r="AJ722" s="653"/>
    </row>
    <row r="723" spans="1:36" ht="51.75" x14ac:dyDescent="0.25">
      <c r="A723" s="488"/>
      <c r="B723" s="131"/>
      <c r="C723" s="75"/>
      <c r="D723" s="568"/>
      <c r="E723" s="568"/>
      <c r="F723" s="118"/>
      <c r="G723" s="118"/>
      <c r="H723" s="75"/>
      <c r="I723" s="118"/>
      <c r="J723" s="121"/>
      <c r="K723" s="187" t="s">
        <v>2156</v>
      </c>
      <c r="L723" s="73" t="s">
        <v>4917</v>
      </c>
      <c r="M723" s="914" t="s">
        <v>2156</v>
      </c>
      <c r="N723" s="914" t="s">
        <v>2156</v>
      </c>
      <c r="O723" s="72" t="s">
        <v>4921</v>
      </c>
      <c r="P723" s="72">
        <v>4</v>
      </c>
      <c r="Q723" s="73" t="s">
        <v>4922</v>
      </c>
      <c r="R723" s="74" t="s">
        <v>85</v>
      </c>
      <c r="S723" s="38" t="s">
        <v>47</v>
      </c>
      <c r="T723" s="39" t="s">
        <v>4893</v>
      </c>
      <c r="U723" s="31">
        <v>3364</v>
      </c>
      <c r="V723" s="31">
        <f>3364-38</f>
        <v>3326</v>
      </c>
      <c r="W723" s="31">
        <f>3364+38</f>
        <v>3402</v>
      </c>
      <c r="X723" s="31">
        <v>1800</v>
      </c>
      <c r="Y723" s="31"/>
      <c r="Z723" s="31"/>
      <c r="AA723" s="31" t="s">
        <v>16</v>
      </c>
      <c r="AB723" s="31" t="s">
        <v>10</v>
      </c>
      <c r="AC723" s="31">
        <v>2</v>
      </c>
      <c r="AD723" s="46" t="s">
        <v>4918</v>
      </c>
      <c r="AE723" s="46" t="s">
        <v>4859</v>
      </c>
      <c r="AF723" s="46" t="s">
        <v>37</v>
      </c>
      <c r="AG723" s="746">
        <v>44242</v>
      </c>
      <c r="AH723" s="46"/>
      <c r="AI723" s="24"/>
      <c r="AJ723" s="1107"/>
    </row>
    <row r="724" spans="1:36" x14ac:dyDescent="0.25">
      <c r="A724" s="488"/>
      <c r="B724" s="131"/>
      <c r="C724" s="75"/>
      <c r="D724" s="568"/>
      <c r="E724" s="568"/>
      <c r="F724" s="118"/>
      <c r="G724" s="118"/>
      <c r="H724" s="75"/>
      <c r="I724" s="118"/>
      <c r="J724" s="121"/>
      <c r="K724" s="188"/>
      <c r="L724" s="76"/>
      <c r="M724" s="915"/>
      <c r="N724" s="915"/>
      <c r="O724" s="75"/>
      <c r="P724" s="75"/>
      <c r="Q724" s="76"/>
      <c r="R724" s="77"/>
      <c r="S724" s="42" t="s">
        <v>91</v>
      </c>
      <c r="T724" s="43" t="s">
        <v>4885</v>
      </c>
      <c r="U724" s="24">
        <v>5600</v>
      </c>
      <c r="V724" s="24"/>
      <c r="W724" s="24"/>
      <c r="X724" s="24"/>
      <c r="Y724" s="24"/>
      <c r="Z724" s="24"/>
      <c r="AA724" s="24" t="s">
        <v>85</v>
      </c>
      <c r="AB724" s="24" t="s">
        <v>16</v>
      </c>
      <c r="AC724" s="24">
        <v>3</v>
      </c>
      <c r="AD724" s="46" t="s">
        <v>4919</v>
      </c>
      <c r="AE724" s="46" t="s">
        <v>4859</v>
      </c>
      <c r="AF724" s="46" t="s">
        <v>37</v>
      </c>
      <c r="AG724" s="746">
        <v>44242</v>
      </c>
      <c r="AH724" s="46"/>
      <c r="AI724" s="24"/>
      <c r="AJ724" s="1107"/>
    </row>
    <row r="725" spans="1:36" ht="26.25" x14ac:dyDescent="0.25">
      <c r="A725" s="488"/>
      <c r="B725" s="131"/>
      <c r="C725" s="75"/>
      <c r="D725" s="568"/>
      <c r="E725" s="568"/>
      <c r="F725" s="118"/>
      <c r="G725" s="118"/>
      <c r="H725" s="75"/>
      <c r="I725" s="118"/>
      <c r="J725" s="121"/>
      <c r="K725" s="188"/>
      <c r="L725" s="76"/>
      <c r="M725" s="915"/>
      <c r="N725" s="915"/>
      <c r="O725" s="75"/>
      <c r="P725" s="75"/>
      <c r="Q725" s="76"/>
      <c r="R725" s="77"/>
      <c r="S725" s="42" t="s">
        <v>92</v>
      </c>
      <c r="T725" s="43" t="s">
        <v>4887</v>
      </c>
      <c r="U725" s="24">
        <v>7631</v>
      </c>
      <c r="V725" s="24">
        <f>7631-51</f>
        <v>7580</v>
      </c>
      <c r="W725" s="24">
        <f>7631+51</f>
        <v>7682</v>
      </c>
      <c r="X725" s="24"/>
      <c r="Y725" s="24"/>
      <c r="Z725" s="24"/>
      <c r="AA725" s="24" t="s">
        <v>85</v>
      </c>
      <c r="AB725" s="24" t="s">
        <v>16</v>
      </c>
      <c r="AC725" s="24">
        <v>3</v>
      </c>
      <c r="AD725" s="46" t="s">
        <v>4920</v>
      </c>
      <c r="AE725" s="46" t="s">
        <v>4859</v>
      </c>
      <c r="AF725" s="46" t="s">
        <v>37</v>
      </c>
      <c r="AG725" s="746">
        <v>44242</v>
      </c>
      <c r="AH725" s="46"/>
      <c r="AI725" s="24"/>
      <c r="AJ725" s="1107"/>
    </row>
    <row r="726" spans="1:36" ht="15.75" thickBot="1" x14ac:dyDescent="0.3">
      <c r="A726" s="488"/>
      <c r="B726" s="131"/>
      <c r="C726" s="75"/>
      <c r="D726" s="568"/>
      <c r="E726" s="568"/>
      <c r="F726" s="118"/>
      <c r="G726" s="118"/>
      <c r="H726" s="75"/>
      <c r="I726" s="118"/>
      <c r="J726" s="121"/>
      <c r="K726" s="192"/>
      <c r="L726" s="79"/>
      <c r="M726" s="916"/>
      <c r="N726" s="916"/>
      <c r="O726" s="78"/>
      <c r="P726" s="78"/>
      <c r="Q726" s="79"/>
      <c r="R726" s="80"/>
      <c r="S726" s="42" t="s">
        <v>99</v>
      </c>
      <c r="T726" s="43" t="s">
        <v>4889</v>
      </c>
      <c r="U726" s="25"/>
      <c r="V726" s="25"/>
      <c r="W726" s="25"/>
      <c r="X726" s="25">
        <v>7631</v>
      </c>
      <c r="Y726" s="25">
        <f>7631-51</f>
        <v>7580</v>
      </c>
      <c r="Z726" s="25">
        <f>7631+51</f>
        <v>7682</v>
      </c>
      <c r="AA726" s="25" t="s">
        <v>85</v>
      </c>
      <c r="AB726" s="25" t="s">
        <v>16</v>
      </c>
      <c r="AC726" s="25">
        <v>3</v>
      </c>
      <c r="AD726" s="46" t="s">
        <v>4920</v>
      </c>
      <c r="AE726" s="46" t="s">
        <v>4859</v>
      </c>
      <c r="AF726" s="46" t="s">
        <v>37</v>
      </c>
      <c r="AG726" s="746">
        <v>44242</v>
      </c>
      <c r="AH726" s="46"/>
      <c r="AI726" s="24"/>
      <c r="AJ726" s="1107"/>
    </row>
    <row r="727" spans="1:36" ht="64.5" x14ac:dyDescent="0.25">
      <c r="A727" s="488"/>
      <c r="B727" s="131"/>
      <c r="C727" s="75"/>
      <c r="D727" s="568"/>
      <c r="E727" s="568"/>
      <c r="F727" s="118"/>
      <c r="G727" s="118"/>
      <c r="H727" s="75"/>
      <c r="I727" s="118"/>
      <c r="J727" s="121"/>
      <c r="K727" s="187">
        <v>851</v>
      </c>
      <c r="L727" s="73" t="s">
        <v>4898</v>
      </c>
      <c r="M727" s="914">
        <v>1960478.7997999999</v>
      </c>
      <c r="N727" s="914">
        <v>5754817.7392999995</v>
      </c>
      <c r="O727" s="72" t="s">
        <v>41</v>
      </c>
      <c r="P727" s="72">
        <v>3</v>
      </c>
      <c r="Q727" s="73" t="s">
        <v>2156</v>
      </c>
      <c r="R727" s="74" t="s">
        <v>2156</v>
      </c>
      <c r="S727" s="38" t="s">
        <v>47</v>
      </c>
      <c r="T727" s="39" t="s">
        <v>4899</v>
      </c>
      <c r="U727" s="31">
        <v>2882</v>
      </c>
      <c r="V727" s="31">
        <f>2882-95</f>
        <v>2787</v>
      </c>
      <c r="W727" s="31">
        <f>2882+95</f>
        <v>2977</v>
      </c>
      <c r="X727" s="31">
        <v>1800</v>
      </c>
      <c r="Y727" s="31"/>
      <c r="Z727" s="31"/>
      <c r="AA727" s="31" t="s">
        <v>16</v>
      </c>
      <c r="AB727" s="31" t="s">
        <v>10</v>
      </c>
      <c r="AC727" s="31">
        <v>2</v>
      </c>
      <c r="AD727" s="40" t="s">
        <v>4894</v>
      </c>
      <c r="AE727" s="40" t="s">
        <v>7908</v>
      </c>
      <c r="AF727" s="40" t="s">
        <v>37</v>
      </c>
      <c r="AG727" s="744">
        <v>44347</v>
      </c>
      <c r="AH727" s="40"/>
      <c r="AI727" s="31"/>
      <c r="AJ727" s="652"/>
    </row>
    <row r="728" spans="1:36" ht="51.75" x14ac:dyDescent="0.25">
      <c r="A728" s="488"/>
      <c r="B728" s="131"/>
      <c r="C728" s="75"/>
      <c r="D728" s="568"/>
      <c r="E728" s="568"/>
      <c r="F728" s="118"/>
      <c r="G728" s="118"/>
      <c r="H728" s="75"/>
      <c r="I728" s="118"/>
      <c r="J728" s="121"/>
      <c r="K728" s="188"/>
      <c r="L728" s="76"/>
      <c r="M728" s="915"/>
      <c r="N728" s="915"/>
      <c r="O728" s="75"/>
      <c r="P728" s="75"/>
      <c r="Q728" s="76"/>
      <c r="R728" s="77"/>
      <c r="S728" s="42" t="s">
        <v>91</v>
      </c>
      <c r="T728" s="43" t="s">
        <v>4913</v>
      </c>
      <c r="U728" s="24">
        <v>9520</v>
      </c>
      <c r="V728" s="24">
        <f>9520-37</f>
        <v>9483</v>
      </c>
      <c r="W728" s="24">
        <f>9520+37</f>
        <v>9557</v>
      </c>
      <c r="X728" s="24">
        <v>2975</v>
      </c>
      <c r="Y728" s="24">
        <f>2975-102</f>
        <v>2873</v>
      </c>
      <c r="Z728" s="24">
        <f>2975+102</f>
        <v>3077</v>
      </c>
      <c r="AA728" s="24" t="s">
        <v>16</v>
      </c>
      <c r="AB728" s="24" t="s">
        <v>10</v>
      </c>
      <c r="AC728" s="24">
        <v>2</v>
      </c>
      <c r="AD728" s="46" t="s">
        <v>4900</v>
      </c>
      <c r="AE728" s="46" t="s">
        <v>4859</v>
      </c>
      <c r="AF728" s="46" t="s">
        <v>37</v>
      </c>
      <c r="AG728" s="746">
        <v>44347</v>
      </c>
      <c r="AH728" s="46"/>
      <c r="AI728" s="24"/>
      <c r="AJ728" s="1107"/>
    </row>
    <row r="729" spans="1:36" ht="52.5" thickBot="1" x14ac:dyDescent="0.3">
      <c r="A729" s="488"/>
      <c r="B729" s="131"/>
      <c r="C729" s="75"/>
      <c r="D729" s="568"/>
      <c r="E729" s="568"/>
      <c r="F729" s="118"/>
      <c r="G729" s="118"/>
      <c r="H729" s="75"/>
      <c r="I729" s="118"/>
      <c r="J729" s="121"/>
      <c r="K729" s="192"/>
      <c r="L729" s="79"/>
      <c r="M729" s="916"/>
      <c r="N729" s="916"/>
      <c r="O729" s="78"/>
      <c r="P729" s="78"/>
      <c r="Q729" s="79"/>
      <c r="R729" s="80"/>
      <c r="S729" s="48" t="s">
        <v>92</v>
      </c>
      <c r="T729" s="49" t="s">
        <v>4914</v>
      </c>
      <c r="U729" s="24">
        <v>9520</v>
      </c>
      <c r="V729" s="24">
        <f>9520-37</f>
        <v>9483</v>
      </c>
      <c r="W729" s="24">
        <f>9520+37</f>
        <v>9557</v>
      </c>
      <c r="X729" s="25"/>
      <c r="Y729" s="25"/>
      <c r="Z729" s="25"/>
      <c r="AA729" s="25" t="s">
        <v>85</v>
      </c>
      <c r="AB729" s="25" t="s">
        <v>16</v>
      </c>
      <c r="AC729" s="25">
        <v>3</v>
      </c>
      <c r="AD729" s="52" t="s">
        <v>4915</v>
      </c>
      <c r="AE729" s="52" t="s">
        <v>4859</v>
      </c>
      <c r="AF729" s="52" t="s">
        <v>37</v>
      </c>
      <c r="AG729" s="745">
        <v>44347</v>
      </c>
      <c r="AH729" s="52"/>
      <c r="AI729" s="25"/>
      <c r="AJ729" s="653"/>
    </row>
    <row r="730" spans="1:36" ht="51.75" x14ac:dyDescent="0.25">
      <c r="A730" s="488"/>
      <c r="B730" s="131"/>
      <c r="C730" s="75"/>
      <c r="D730" s="568"/>
      <c r="E730" s="568"/>
      <c r="F730" s="118"/>
      <c r="G730" s="118"/>
      <c r="H730" s="75"/>
      <c r="I730" s="118"/>
      <c r="J730" s="121"/>
      <c r="K730" s="187">
        <v>852</v>
      </c>
      <c r="L730" s="73" t="s">
        <v>4901</v>
      </c>
      <c r="M730" s="914">
        <v>1960480.5699</v>
      </c>
      <c r="N730" s="914">
        <v>5754797.0467999997</v>
      </c>
      <c r="O730" s="72">
        <v>4600</v>
      </c>
      <c r="P730" s="72" t="s">
        <v>41</v>
      </c>
      <c r="Q730" s="73" t="s">
        <v>2156</v>
      </c>
      <c r="R730" s="74" t="s">
        <v>2156</v>
      </c>
      <c r="S730" s="38" t="s">
        <v>47</v>
      </c>
      <c r="T730" s="39" t="s">
        <v>4883</v>
      </c>
      <c r="U730" s="31">
        <v>5600</v>
      </c>
      <c r="V730" s="31"/>
      <c r="W730" s="31"/>
      <c r="X730" s="31"/>
      <c r="Y730" s="31"/>
      <c r="Z730" s="31"/>
      <c r="AA730" s="31" t="s">
        <v>85</v>
      </c>
      <c r="AB730" s="31" t="s">
        <v>16</v>
      </c>
      <c r="AC730" s="31">
        <v>3</v>
      </c>
      <c r="AD730" s="40" t="s">
        <v>4902</v>
      </c>
      <c r="AE730" s="40" t="s">
        <v>7908</v>
      </c>
      <c r="AF730" s="40" t="s">
        <v>37</v>
      </c>
      <c r="AG730" s="744">
        <v>44347</v>
      </c>
      <c r="AH730" s="40"/>
      <c r="AI730" s="31"/>
      <c r="AJ730" s="652"/>
    </row>
    <row r="731" spans="1:36" ht="65.25" thickBot="1" x14ac:dyDescent="0.3">
      <c r="A731" s="488"/>
      <c r="B731" s="131"/>
      <c r="C731" s="75"/>
      <c r="D731" s="568"/>
      <c r="E731" s="568"/>
      <c r="F731" s="118"/>
      <c r="G731" s="118"/>
      <c r="H731" s="75"/>
      <c r="I731" s="118"/>
      <c r="J731" s="121"/>
      <c r="K731" s="192"/>
      <c r="L731" s="79"/>
      <c r="M731" s="916"/>
      <c r="N731" s="916"/>
      <c r="O731" s="78"/>
      <c r="P731" s="78"/>
      <c r="Q731" s="79"/>
      <c r="R731" s="80"/>
      <c r="S731" s="48" t="s">
        <v>91</v>
      </c>
      <c r="T731" s="49" t="s">
        <v>4903</v>
      </c>
      <c r="U731" s="25">
        <v>13800</v>
      </c>
      <c r="V731" s="25"/>
      <c r="W731" s="25"/>
      <c r="X731" s="25">
        <v>3500</v>
      </c>
      <c r="Y731" s="25"/>
      <c r="Z731" s="25"/>
      <c r="AA731" s="25" t="s">
        <v>85</v>
      </c>
      <c r="AB731" s="25" t="s">
        <v>16</v>
      </c>
      <c r="AC731" s="25">
        <v>3</v>
      </c>
      <c r="AD731" s="52" t="s">
        <v>4904</v>
      </c>
      <c r="AE731" s="52" t="s">
        <v>4859</v>
      </c>
      <c r="AF731" s="52" t="s">
        <v>37</v>
      </c>
      <c r="AG731" s="745">
        <v>44347</v>
      </c>
      <c r="AH731" s="52"/>
      <c r="AI731" s="25"/>
      <c r="AJ731" s="653"/>
    </row>
    <row r="732" spans="1:36" ht="51.75" x14ac:dyDescent="0.25">
      <c r="A732" s="488"/>
      <c r="B732" s="131"/>
      <c r="C732" s="75"/>
      <c r="D732" s="568"/>
      <c r="E732" s="568"/>
      <c r="F732" s="118"/>
      <c r="G732" s="118"/>
      <c r="H732" s="75"/>
      <c r="I732" s="118"/>
      <c r="J732" s="121"/>
      <c r="K732" s="187" t="s">
        <v>2156</v>
      </c>
      <c r="L732" s="73" t="s">
        <v>4916</v>
      </c>
      <c r="M732" s="914" t="s">
        <v>2156</v>
      </c>
      <c r="N732" s="914" t="s">
        <v>2156</v>
      </c>
      <c r="O732" s="72">
        <v>4600</v>
      </c>
      <c r="P732" s="72">
        <v>3</v>
      </c>
      <c r="Q732" s="73" t="s">
        <v>4923</v>
      </c>
      <c r="R732" s="74" t="s">
        <v>85</v>
      </c>
      <c r="S732" s="38" t="s">
        <v>47</v>
      </c>
      <c r="T732" s="39" t="s">
        <v>4899</v>
      </c>
      <c r="U732" s="31">
        <v>2882</v>
      </c>
      <c r="V732" s="31">
        <f>2882-95</f>
        <v>2787</v>
      </c>
      <c r="W732" s="31">
        <f>2882+95</f>
        <v>2977</v>
      </c>
      <c r="X732" s="31">
        <v>1800</v>
      </c>
      <c r="Y732" s="31"/>
      <c r="Z732" s="31"/>
      <c r="AA732" s="31" t="s">
        <v>16</v>
      </c>
      <c r="AB732" s="31" t="s">
        <v>10</v>
      </c>
      <c r="AC732" s="31">
        <v>2</v>
      </c>
      <c r="AD732" s="40"/>
      <c r="AE732" s="40" t="s">
        <v>4859</v>
      </c>
      <c r="AF732" s="40" t="s">
        <v>37</v>
      </c>
      <c r="AG732" s="744">
        <v>44242</v>
      </c>
      <c r="AH732" s="40"/>
      <c r="AI732" s="31"/>
      <c r="AJ732" s="652"/>
    </row>
    <row r="733" spans="1:36" x14ac:dyDescent="0.25">
      <c r="A733" s="488"/>
      <c r="B733" s="131"/>
      <c r="C733" s="75"/>
      <c r="D733" s="568"/>
      <c r="E733" s="568"/>
      <c r="F733" s="118"/>
      <c r="G733" s="118"/>
      <c r="H733" s="75"/>
      <c r="I733" s="118"/>
      <c r="J733" s="121"/>
      <c r="K733" s="188"/>
      <c r="L733" s="76"/>
      <c r="M733" s="915"/>
      <c r="N733" s="915"/>
      <c r="O733" s="75"/>
      <c r="P733" s="75"/>
      <c r="Q733" s="76"/>
      <c r="R733" s="77"/>
      <c r="S733" s="42" t="s">
        <v>91</v>
      </c>
      <c r="T733" s="43" t="s">
        <v>4913</v>
      </c>
      <c r="U733" s="24">
        <v>9520</v>
      </c>
      <c r="V733" s="24">
        <f>9520-37</f>
        <v>9483</v>
      </c>
      <c r="W733" s="24">
        <f>9520+37</f>
        <v>9557</v>
      </c>
      <c r="X733" s="24">
        <v>2975</v>
      </c>
      <c r="Y733" s="24">
        <f>2975-102</f>
        <v>2873</v>
      </c>
      <c r="Z733" s="24">
        <f>2975+102</f>
        <v>3077</v>
      </c>
      <c r="AA733" s="24" t="s">
        <v>16</v>
      </c>
      <c r="AB733" s="24" t="s">
        <v>10</v>
      </c>
      <c r="AC733" s="24">
        <v>2</v>
      </c>
      <c r="AD733" s="46"/>
      <c r="AE733" s="46" t="s">
        <v>4859</v>
      </c>
      <c r="AF733" s="46" t="s">
        <v>37</v>
      </c>
      <c r="AG733" s="746">
        <v>44242</v>
      </c>
      <c r="AH733" s="46"/>
      <c r="AI733" s="24"/>
      <c r="AJ733" s="1107"/>
    </row>
    <row r="734" spans="1:36" ht="15.75" thickBot="1" x14ac:dyDescent="0.3">
      <c r="A734" s="488"/>
      <c r="B734" s="131"/>
      <c r="C734" s="75"/>
      <c r="D734" s="568"/>
      <c r="E734" s="568"/>
      <c r="F734" s="118"/>
      <c r="G734" s="118"/>
      <c r="H734" s="75"/>
      <c r="I734" s="118"/>
      <c r="J734" s="121"/>
      <c r="K734" s="192"/>
      <c r="L734" s="79"/>
      <c r="M734" s="916"/>
      <c r="N734" s="916"/>
      <c r="O734" s="78"/>
      <c r="P734" s="78"/>
      <c r="Q734" s="79"/>
      <c r="R734" s="80"/>
      <c r="S734" s="48" t="s">
        <v>92</v>
      </c>
      <c r="T734" s="49" t="s">
        <v>4914</v>
      </c>
      <c r="U734" s="25">
        <v>9520</v>
      </c>
      <c r="V734" s="25">
        <f>9520-37</f>
        <v>9483</v>
      </c>
      <c r="W734" s="25">
        <f>9520+37</f>
        <v>9557</v>
      </c>
      <c r="X734" s="25"/>
      <c r="Y734" s="25"/>
      <c r="Z734" s="25"/>
      <c r="AA734" s="25" t="s">
        <v>85</v>
      </c>
      <c r="AB734" s="25" t="s">
        <v>16</v>
      </c>
      <c r="AC734" s="25">
        <v>3</v>
      </c>
      <c r="AD734" s="52"/>
      <c r="AE734" s="52" t="s">
        <v>4859</v>
      </c>
      <c r="AF734" s="52" t="s">
        <v>37</v>
      </c>
      <c r="AG734" s="745">
        <v>44242</v>
      </c>
      <c r="AH734" s="52"/>
      <c r="AI734" s="25"/>
      <c r="AJ734" s="653"/>
    </row>
    <row r="735" spans="1:36" s="402" customFormat="1" ht="51.75" x14ac:dyDescent="0.25">
      <c r="A735" s="488"/>
      <c r="B735" s="131"/>
      <c r="C735" s="75"/>
      <c r="D735" s="568"/>
      <c r="E735" s="568"/>
      <c r="F735" s="118"/>
      <c r="G735" s="118"/>
      <c r="H735" s="75"/>
      <c r="I735" s="118"/>
      <c r="J735" s="121"/>
      <c r="K735" s="187">
        <v>972</v>
      </c>
      <c r="L735" s="73" t="s">
        <v>7815</v>
      </c>
      <c r="M735" s="914">
        <v>1927904.3711000001</v>
      </c>
      <c r="N735" s="914">
        <v>5677533.1436000001</v>
      </c>
      <c r="O735" s="72">
        <v>1600</v>
      </c>
      <c r="P735" s="732" t="s">
        <v>7822</v>
      </c>
      <c r="Q735" s="73" t="s">
        <v>7864</v>
      </c>
      <c r="R735" s="74" t="s">
        <v>85</v>
      </c>
      <c r="S735" s="38" t="s">
        <v>47</v>
      </c>
      <c r="T735" s="39" t="s">
        <v>7816</v>
      </c>
      <c r="U735" s="31">
        <v>800</v>
      </c>
      <c r="V735" s="31"/>
      <c r="W735" s="31"/>
      <c r="X735" s="31"/>
      <c r="Y735" s="31"/>
      <c r="Z735" s="31"/>
      <c r="AA735" s="31" t="s">
        <v>85</v>
      </c>
      <c r="AB735" s="31" t="s">
        <v>16</v>
      </c>
      <c r="AC735" s="31">
        <v>3</v>
      </c>
      <c r="AD735" s="40" t="s">
        <v>7817</v>
      </c>
      <c r="AE735" s="40" t="s">
        <v>7818</v>
      </c>
      <c r="AF735" s="40" t="s">
        <v>37</v>
      </c>
      <c r="AG735" s="744">
        <v>44361</v>
      </c>
      <c r="AH735" s="40"/>
      <c r="AI735" s="31"/>
      <c r="AJ735" s="652"/>
    </row>
    <row r="736" spans="1:36" s="402" customFormat="1" ht="51.75" x14ac:dyDescent="0.25">
      <c r="A736" s="488"/>
      <c r="B736" s="131"/>
      <c r="C736" s="75"/>
      <c r="D736" s="568"/>
      <c r="E736" s="568"/>
      <c r="F736" s="118"/>
      <c r="G736" s="118"/>
      <c r="H736" s="75"/>
      <c r="I736" s="118"/>
      <c r="J736" s="121"/>
      <c r="K736" s="188"/>
      <c r="L736" s="76"/>
      <c r="M736" s="915"/>
      <c r="N736" s="915"/>
      <c r="O736" s="75"/>
      <c r="P736" s="75"/>
      <c r="Q736" s="76"/>
      <c r="R736" s="77"/>
      <c r="S736" s="42" t="s">
        <v>91</v>
      </c>
      <c r="T736" s="43" t="s">
        <v>4869</v>
      </c>
      <c r="U736" s="24">
        <v>1800</v>
      </c>
      <c r="V736" s="24"/>
      <c r="W736" s="24"/>
      <c r="X736" s="24">
        <v>800</v>
      </c>
      <c r="Y736" s="24"/>
      <c r="Z736" s="24"/>
      <c r="AA736" s="24" t="s">
        <v>85</v>
      </c>
      <c r="AB736" s="24" t="s">
        <v>16</v>
      </c>
      <c r="AC736" s="24">
        <v>3</v>
      </c>
      <c r="AD736" s="46" t="s">
        <v>7821</v>
      </c>
      <c r="AE736" s="46" t="s">
        <v>7818</v>
      </c>
      <c r="AF736" s="46" t="s">
        <v>37</v>
      </c>
      <c r="AG736" s="746">
        <v>44361</v>
      </c>
      <c r="AH736" s="46"/>
      <c r="AI736" s="24"/>
      <c r="AJ736" s="1107"/>
    </row>
    <row r="737" spans="1:36" s="402" customFormat="1" ht="65.25" thickBot="1" x14ac:dyDescent="0.3">
      <c r="A737" s="489"/>
      <c r="B737" s="133"/>
      <c r="C737" s="78"/>
      <c r="D737" s="569"/>
      <c r="E737" s="569"/>
      <c r="F737" s="119"/>
      <c r="G737" s="119"/>
      <c r="H737" s="78"/>
      <c r="I737" s="119"/>
      <c r="J737" s="429"/>
      <c r="K737" s="192"/>
      <c r="L737" s="79"/>
      <c r="M737" s="916"/>
      <c r="N737" s="916"/>
      <c r="O737" s="78"/>
      <c r="P737" s="78"/>
      <c r="Q737" s="79"/>
      <c r="R737" s="80"/>
      <c r="S737" s="48" t="s">
        <v>92</v>
      </c>
      <c r="T737" s="49" t="s">
        <v>7819</v>
      </c>
      <c r="U737" s="25">
        <v>9500</v>
      </c>
      <c r="V737" s="25"/>
      <c r="W737" s="25"/>
      <c r="X737" s="25">
        <v>1800</v>
      </c>
      <c r="Y737" s="25"/>
      <c r="Z737" s="25"/>
      <c r="AA737" s="25" t="s">
        <v>85</v>
      </c>
      <c r="AB737" s="25" t="s">
        <v>16</v>
      </c>
      <c r="AC737" s="25">
        <v>3</v>
      </c>
      <c r="AD737" s="52" t="s">
        <v>7820</v>
      </c>
      <c r="AE737" s="52" t="s">
        <v>7818</v>
      </c>
      <c r="AF737" s="52" t="s">
        <v>37</v>
      </c>
      <c r="AG737" s="745">
        <v>44361</v>
      </c>
      <c r="AH737" s="52"/>
      <c r="AI737" s="25"/>
      <c r="AJ737" s="653"/>
    </row>
    <row r="738" spans="1:36" ht="90.75" thickBot="1" x14ac:dyDescent="0.3">
      <c r="A738" s="339" t="s">
        <v>6476</v>
      </c>
      <c r="B738" s="116" t="s">
        <v>7670</v>
      </c>
      <c r="C738" s="95">
        <v>521</v>
      </c>
      <c r="D738" s="567" t="s">
        <v>52</v>
      </c>
      <c r="E738" s="567"/>
      <c r="F738" s="108" t="s">
        <v>6477</v>
      </c>
      <c r="G738" s="108">
        <v>3</v>
      </c>
      <c r="H738" s="95" t="s">
        <v>16</v>
      </c>
      <c r="I738" s="359" t="s">
        <v>6478</v>
      </c>
      <c r="J738" s="122" t="s">
        <v>7860</v>
      </c>
      <c r="K738" s="190">
        <v>4023</v>
      </c>
      <c r="L738" s="357" t="s">
        <v>6479</v>
      </c>
      <c r="M738" s="912">
        <v>1610229.3930319999</v>
      </c>
      <c r="N738" s="912">
        <v>5417384.2723470004</v>
      </c>
      <c r="O738" s="96" t="s">
        <v>41</v>
      </c>
      <c r="P738" s="96">
        <v>1</v>
      </c>
      <c r="Q738" s="357" t="s">
        <v>2156</v>
      </c>
      <c r="R738" s="100" t="s">
        <v>2156</v>
      </c>
      <c r="S738" s="658" t="s">
        <v>47</v>
      </c>
      <c r="T738" s="179" t="s">
        <v>6480</v>
      </c>
      <c r="U738" s="24">
        <v>18000</v>
      </c>
      <c r="V738" s="24">
        <v>16000</v>
      </c>
      <c r="W738" s="24">
        <v>20000</v>
      </c>
      <c r="X738" s="24">
        <v>16300</v>
      </c>
      <c r="Y738" s="24">
        <v>15300</v>
      </c>
      <c r="Z738" s="24">
        <v>17300</v>
      </c>
      <c r="AA738" s="24" t="s">
        <v>16</v>
      </c>
      <c r="AB738" s="24" t="s">
        <v>16</v>
      </c>
      <c r="AC738" s="24">
        <v>2</v>
      </c>
      <c r="AD738" s="46" t="s">
        <v>6481</v>
      </c>
      <c r="AE738" s="46" t="s">
        <v>1691</v>
      </c>
      <c r="AF738" s="46" t="s">
        <v>6372</v>
      </c>
      <c r="AG738" s="746">
        <v>44237</v>
      </c>
      <c r="AH738" s="46"/>
      <c r="AI738" s="746">
        <v>44326</v>
      </c>
      <c r="AJ738" s="1107" t="s">
        <v>37</v>
      </c>
    </row>
    <row r="739" spans="1:36" ht="64.5" x14ac:dyDescent="0.25">
      <c r="A739" s="339"/>
      <c r="B739" s="338"/>
      <c r="C739" s="277"/>
      <c r="D739" s="565"/>
      <c r="E739" s="565"/>
      <c r="F739" s="276"/>
      <c r="G739" s="276"/>
      <c r="H739" s="277"/>
      <c r="I739" s="276"/>
      <c r="J739" s="122"/>
      <c r="K739" s="189">
        <v>4024</v>
      </c>
      <c r="L739" s="355" t="s">
        <v>6482</v>
      </c>
      <c r="M739" s="911">
        <v>1610303.015868</v>
      </c>
      <c r="N739" s="911">
        <v>5417427.0587999998</v>
      </c>
      <c r="O739" s="125" t="s">
        <v>41</v>
      </c>
      <c r="P739" s="125">
        <v>2</v>
      </c>
      <c r="Q739" s="355" t="s">
        <v>2156</v>
      </c>
      <c r="R739" s="134" t="s">
        <v>2156</v>
      </c>
      <c r="S739" s="656" t="s">
        <v>47</v>
      </c>
      <c r="T739" s="340" t="s">
        <v>6483</v>
      </c>
      <c r="U739" s="31"/>
      <c r="V739" s="31">
        <v>6620</v>
      </c>
      <c r="W739" s="31">
        <v>6810</v>
      </c>
      <c r="X739" s="31"/>
      <c r="Y739" s="31">
        <v>5650</v>
      </c>
      <c r="Z739" s="31">
        <v>5900</v>
      </c>
      <c r="AA739" s="31" t="s">
        <v>16</v>
      </c>
      <c r="AB739" s="31" t="s">
        <v>16</v>
      </c>
      <c r="AC739" s="31">
        <v>2</v>
      </c>
      <c r="AD739" s="40" t="s">
        <v>6484</v>
      </c>
      <c r="AE739" s="40" t="s">
        <v>1691</v>
      </c>
      <c r="AF739" s="40" t="s">
        <v>6372</v>
      </c>
      <c r="AG739" s="744">
        <v>44237</v>
      </c>
      <c r="AH739" s="40"/>
      <c r="AI739" s="744">
        <v>44326</v>
      </c>
      <c r="AJ739" s="652" t="s">
        <v>37</v>
      </c>
    </row>
    <row r="740" spans="1:36" ht="116.25" thickBot="1" x14ac:dyDescent="0.3">
      <c r="A740" s="339"/>
      <c r="B740" s="338"/>
      <c r="C740" s="277"/>
      <c r="D740" s="565"/>
      <c r="E740" s="565"/>
      <c r="F740" s="276"/>
      <c r="G740" s="276"/>
      <c r="H740" s="277"/>
      <c r="I740" s="276"/>
      <c r="J740" s="122"/>
      <c r="K740" s="190"/>
      <c r="L740" s="357"/>
      <c r="M740" s="912"/>
      <c r="N740" s="912"/>
      <c r="O740" s="96"/>
      <c r="P740" s="96"/>
      <c r="Q740" s="357"/>
      <c r="R740" s="100"/>
      <c r="S740" s="657" t="s">
        <v>91</v>
      </c>
      <c r="T740" s="335" t="s">
        <v>6485</v>
      </c>
      <c r="U740" s="25">
        <v>12800</v>
      </c>
      <c r="V740" s="25">
        <v>11800</v>
      </c>
      <c r="W740" s="25">
        <v>13800</v>
      </c>
      <c r="X740" s="25"/>
      <c r="Y740" s="25">
        <v>7200</v>
      </c>
      <c r="Z740" s="25">
        <v>7420</v>
      </c>
      <c r="AA740" s="25" t="s">
        <v>16</v>
      </c>
      <c r="AB740" s="25" t="s">
        <v>85</v>
      </c>
      <c r="AC740" s="25">
        <v>3</v>
      </c>
      <c r="AD740" s="52" t="s">
        <v>6486</v>
      </c>
      <c r="AE740" s="52" t="s">
        <v>1691</v>
      </c>
      <c r="AF740" s="52" t="s">
        <v>6372</v>
      </c>
      <c r="AG740" s="745">
        <v>44237</v>
      </c>
      <c r="AH740" s="52"/>
      <c r="AI740" s="745">
        <v>44326</v>
      </c>
      <c r="AJ740" s="653" t="s">
        <v>37</v>
      </c>
    </row>
    <row r="741" spans="1:36" ht="78" thickBot="1" x14ac:dyDescent="0.3">
      <c r="A741" s="339"/>
      <c r="B741" s="116"/>
      <c r="C741" s="95"/>
      <c r="D741" s="567"/>
      <c r="E741" s="567"/>
      <c r="F741" s="108"/>
      <c r="G741" s="108"/>
      <c r="H741" s="95"/>
      <c r="I741" s="108"/>
      <c r="J741" s="122"/>
      <c r="K741" s="190">
        <v>4025</v>
      </c>
      <c r="L741" s="357" t="s">
        <v>6487</v>
      </c>
      <c r="M741" s="912">
        <v>1621922.8203090001</v>
      </c>
      <c r="N741" s="912">
        <v>5427165.072861</v>
      </c>
      <c r="O741" s="96" t="s">
        <v>41</v>
      </c>
      <c r="P741" s="96">
        <v>1</v>
      </c>
      <c r="Q741" s="357" t="s">
        <v>2156</v>
      </c>
      <c r="R741" s="100" t="s">
        <v>2156</v>
      </c>
      <c r="S741" s="657" t="s">
        <v>47</v>
      </c>
      <c r="T741" s="335" t="s">
        <v>6488</v>
      </c>
      <c r="U741" s="25"/>
      <c r="V741" s="25">
        <v>5000</v>
      </c>
      <c r="W741" s="25">
        <v>6000</v>
      </c>
      <c r="X741" s="25">
        <v>4200</v>
      </c>
      <c r="Y741" s="25">
        <v>4229</v>
      </c>
      <c r="Z741" s="25">
        <v>4421</v>
      </c>
      <c r="AA741" s="25" t="s">
        <v>85</v>
      </c>
      <c r="AB741" s="25" t="s">
        <v>10</v>
      </c>
      <c r="AC741" s="25">
        <v>3</v>
      </c>
      <c r="AD741" s="52" t="s">
        <v>6489</v>
      </c>
      <c r="AE741" s="52" t="s">
        <v>1691</v>
      </c>
      <c r="AF741" s="52" t="s">
        <v>6372</v>
      </c>
      <c r="AG741" s="745">
        <v>44237</v>
      </c>
      <c r="AH741" s="52"/>
      <c r="AI741" s="745">
        <v>44326</v>
      </c>
      <c r="AJ741" s="653" t="s">
        <v>37</v>
      </c>
    </row>
    <row r="742" spans="1:36" ht="39" x14ac:dyDescent="0.25">
      <c r="A742" s="807" t="s">
        <v>2753</v>
      </c>
      <c r="B742" s="349" t="s">
        <v>6827</v>
      </c>
      <c r="C742" s="157">
        <v>262</v>
      </c>
      <c r="D742" s="592" t="s">
        <v>57</v>
      </c>
      <c r="E742" s="592" t="s">
        <v>53</v>
      </c>
      <c r="F742" s="159"/>
      <c r="G742" s="159"/>
      <c r="H742" s="157"/>
      <c r="I742" s="159"/>
      <c r="J742" s="450"/>
      <c r="K742" s="193">
        <v>963</v>
      </c>
      <c r="L742" s="433" t="s">
        <v>7869</v>
      </c>
      <c r="M742" s="924">
        <v>1934809.3991</v>
      </c>
      <c r="N742" s="924">
        <v>5747016.3399999999</v>
      </c>
      <c r="O742" s="157" t="s">
        <v>7870</v>
      </c>
      <c r="P742" s="158" t="s">
        <v>1316</v>
      </c>
      <c r="Q742" s="433" t="s">
        <v>7871</v>
      </c>
      <c r="R742" s="160" t="s">
        <v>85</v>
      </c>
      <c r="S742" s="656" t="s">
        <v>47</v>
      </c>
      <c r="T742" s="39" t="s">
        <v>7819</v>
      </c>
      <c r="U742" s="31">
        <v>9500</v>
      </c>
      <c r="V742" s="31"/>
      <c r="W742" s="31"/>
      <c r="X742" s="31">
        <v>1800</v>
      </c>
      <c r="Y742" s="31"/>
      <c r="Z742" s="31"/>
      <c r="AA742" s="31" t="s">
        <v>85</v>
      </c>
      <c r="AB742" s="31" t="s">
        <v>16</v>
      </c>
      <c r="AC742" s="31">
        <v>3</v>
      </c>
      <c r="AD742" s="40" t="s">
        <v>7868</v>
      </c>
      <c r="AE742" s="40" t="s">
        <v>7866</v>
      </c>
      <c r="AF742" s="40" t="s">
        <v>37</v>
      </c>
      <c r="AG742" s="744" t="s">
        <v>7867</v>
      </c>
      <c r="AH742" s="40"/>
      <c r="AI742" s="31"/>
      <c r="AJ742" s="652"/>
    </row>
    <row r="743" spans="1:36" ht="77.25" x14ac:dyDescent="0.25">
      <c r="A743" s="808"/>
      <c r="B743" s="550"/>
      <c r="C743" s="161"/>
      <c r="D743" s="573"/>
      <c r="E743" s="573"/>
      <c r="F743" s="163"/>
      <c r="G743" s="163"/>
      <c r="H743" s="161"/>
      <c r="I743" s="163"/>
      <c r="J743" s="423"/>
      <c r="K743" s="194"/>
      <c r="L743" s="434"/>
      <c r="M743" s="919"/>
      <c r="N743" s="919"/>
      <c r="O743" s="161"/>
      <c r="P743" s="161"/>
      <c r="Q743" s="434"/>
      <c r="R743" s="164"/>
      <c r="S743" s="658" t="s">
        <v>91</v>
      </c>
      <c r="T743" s="43" t="s">
        <v>7819</v>
      </c>
      <c r="U743" s="24">
        <v>9500</v>
      </c>
      <c r="V743" s="24"/>
      <c r="W743" s="24"/>
      <c r="X743" s="24">
        <v>1800</v>
      </c>
      <c r="Y743" s="24"/>
      <c r="Z743" s="24"/>
      <c r="AA743" s="24" t="s">
        <v>85</v>
      </c>
      <c r="AB743" s="24" t="s">
        <v>85</v>
      </c>
      <c r="AC743" s="24">
        <v>3</v>
      </c>
      <c r="AD743" s="46" t="s">
        <v>7873</v>
      </c>
      <c r="AE743" s="46" t="s">
        <v>7866</v>
      </c>
      <c r="AF743" s="46" t="s">
        <v>37</v>
      </c>
      <c r="AG743" s="746" t="s">
        <v>7867</v>
      </c>
      <c r="AH743" s="46"/>
      <c r="AI743" s="24"/>
      <c r="AJ743" s="1107"/>
    </row>
    <row r="744" spans="1:36" ht="52.5" thickBot="1" x14ac:dyDescent="0.3">
      <c r="A744" s="808"/>
      <c r="B744" s="550"/>
      <c r="C744" s="161"/>
      <c r="D744" s="573"/>
      <c r="E744" s="573"/>
      <c r="F744" s="163"/>
      <c r="G744" s="163"/>
      <c r="H744" s="161"/>
      <c r="I744" s="163"/>
      <c r="J744" s="423"/>
      <c r="K744" s="195"/>
      <c r="L744" s="435"/>
      <c r="M744" s="925"/>
      <c r="N744" s="925"/>
      <c r="O744" s="165"/>
      <c r="P744" s="165"/>
      <c r="Q744" s="435"/>
      <c r="R744" s="168"/>
      <c r="S744" s="48" t="s">
        <v>92</v>
      </c>
      <c r="T744" s="49" t="s">
        <v>7852</v>
      </c>
      <c r="U744" s="25">
        <v>17600</v>
      </c>
      <c r="V744" s="25"/>
      <c r="W744" s="25"/>
      <c r="X744" s="25">
        <v>13800</v>
      </c>
      <c r="Y744" s="25"/>
      <c r="Z744" s="25"/>
      <c r="AA744" s="25" t="s">
        <v>85</v>
      </c>
      <c r="AB744" s="25" t="s">
        <v>16</v>
      </c>
      <c r="AC744" s="25">
        <v>3</v>
      </c>
      <c r="AD744" s="52" t="s">
        <v>7872</v>
      </c>
      <c r="AE744" s="52" t="s">
        <v>7866</v>
      </c>
      <c r="AF744" s="52" t="s">
        <v>37</v>
      </c>
      <c r="AG744" s="745" t="s">
        <v>7867</v>
      </c>
      <c r="AH744" s="52"/>
      <c r="AI744" s="25"/>
      <c r="AJ744" s="653"/>
    </row>
    <row r="745" spans="1:36" ht="77.25" x14ac:dyDescent="0.25">
      <c r="A745" s="808"/>
      <c r="B745" s="550"/>
      <c r="C745" s="161"/>
      <c r="D745" s="573"/>
      <c r="E745" s="573"/>
      <c r="F745" s="163"/>
      <c r="G745" s="163"/>
      <c r="H745" s="161"/>
      <c r="I745" s="163"/>
      <c r="J745" s="423"/>
      <c r="K745" s="193">
        <v>976</v>
      </c>
      <c r="L745" s="433" t="s">
        <v>7849</v>
      </c>
      <c r="M745" s="924">
        <v>1935211.0268999999</v>
      </c>
      <c r="N745" s="924">
        <v>5768337.2616999997</v>
      </c>
      <c r="O745" s="157" t="s">
        <v>41</v>
      </c>
      <c r="P745" s="157">
        <v>4</v>
      </c>
      <c r="Q745" s="433" t="s">
        <v>2156</v>
      </c>
      <c r="R745" s="160" t="s">
        <v>2156</v>
      </c>
      <c r="S745" s="656" t="s">
        <v>47</v>
      </c>
      <c r="T745" s="39" t="s">
        <v>4883</v>
      </c>
      <c r="U745" s="31">
        <v>5600</v>
      </c>
      <c r="V745" s="31"/>
      <c r="W745" s="31"/>
      <c r="X745" s="31">
        <v>1800</v>
      </c>
      <c r="Y745" s="31"/>
      <c r="Z745" s="31"/>
      <c r="AA745" s="31" t="s">
        <v>85</v>
      </c>
      <c r="AB745" s="31" t="s">
        <v>16</v>
      </c>
      <c r="AC745" s="31">
        <v>3</v>
      </c>
      <c r="AD745" s="40" t="s">
        <v>7853</v>
      </c>
      <c r="AE745" s="40" t="s">
        <v>7859</v>
      </c>
      <c r="AF745" s="40" t="s">
        <v>37</v>
      </c>
      <c r="AG745" s="744">
        <v>44361</v>
      </c>
      <c r="AH745" s="40"/>
      <c r="AI745" s="31"/>
      <c r="AJ745" s="652"/>
    </row>
    <row r="746" spans="1:36" ht="51.75" x14ac:dyDescent="0.25">
      <c r="A746" s="808"/>
      <c r="B746" s="550"/>
      <c r="C746" s="161"/>
      <c r="D746" s="573"/>
      <c r="E746" s="573"/>
      <c r="F746" s="163"/>
      <c r="G746" s="163"/>
      <c r="H746" s="161"/>
      <c r="I746" s="163"/>
      <c r="J746" s="423"/>
      <c r="K746" s="194"/>
      <c r="L746" s="434"/>
      <c r="M746" s="919"/>
      <c r="N746" s="919"/>
      <c r="O746" s="161"/>
      <c r="P746" s="161"/>
      <c r="Q746" s="434"/>
      <c r="R746" s="164"/>
      <c r="S746" s="658" t="s">
        <v>91</v>
      </c>
      <c r="T746" s="43" t="s">
        <v>4883</v>
      </c>
      <c r="U746" s="24">
        <v>5600</v>
      </c>
      <c r="V746" s="24"/>
      <c r="W746" s="24"/>
      <c r="X746" s="24">
        <v>1800</v>
      </c>
      <c r="Y746" s="24"/>
      <c r="Z746" s="24"/>
      <c r="AA746" s="24" t="s">
        <v>85</v>
      </c>
      <c r="AB746" s="24" t="s">
        <v>16</v>
      </c>
      <c r="AC746" s="24">
        <v>3</v>
      </c>
      <c r="AD746" s="46" t="s">
        <v>7855</v>
      </c>
      <c r="AE746" s="46" t="s">
        <v>7859</v>
      </c>
      <c r="AF746" s="46" t="s">
        <v>37</v>
      </c>
      <c r="AG746" s="746">
        <v>44361</v>
      </c>
      <c r="AH746" s="46"/>
      <c r="AI746" s="24"/>
      <c r="AJ746" s="1107"/>
    </row>
    <row r="747" spans="1:36" ht="51.75" x14ac:dyDescent="0.25">
      <c r="A747" s="808"/>
      <c r="B747" s="550"/>
      <c r="C747" s="161"/>
      <c r="D747" s="573"/>
      <c r="E747" s="573"/>
      <c r="F747" s="163"/>
      <c r="G747" s="163"/>
      <c r="H747" s="161"/>
      <c r="I747" s="163"/>
      <c r="J747" s="423"/>
      <c r="K747" s="194"/>
      <c r="L747" s="434"/>
      <c r="M747" s="919"/>
      <c r="N747" s="919"/>
      <c r="O747" s="161"/>
      <c r="P747" s="161"/>
      <c r="Q747" s="434"/>
      <c r="R747" s="164"/>
      <c r="S747" s="42" t="s">
        <v>92</v>
      </c>
      <c r="T747" s="43" t="s">
        <v>7851</v>
      </c>
      <c r="U747" s="24">
        <v>13800</v>
      </c>
      <c r="V747" s="24"/>
      <c r="W747" s="24"/>
      <c r="X747" s="24">
        <v>5600</v>
      </c>
      <c r="Y747" s="24"/>
      <c r="Z747" s="24"/>
      <c r="AA747" s="24" t="s">
        <v>85</v>
      </c>
      <c r="AB747" s="24" t="s">
        <v>16</v>
      </c>
      <c r="AC747" s="24">
        <v>3</v>
      </c>
      <c r="AD747" s="46" t="s">
        <v>7854</v>
      </c>
      <c r="AE747" s="46" t="s">
        <v>7859</v>
      </c>
      <c r="AF747" s="46" t="s">
        <v>37</v>
      </c>
      <c r="AG747" s="746">
        <v>44361</v>
      </c>
      <c r="AH747" s="46"/>
      <c r="AI747" s="24"/>
      <c r="AJ747" s="1107"/>
    </row>
    <row r="748" spans="1:36" ht="52.5" thickBot="1" x14ac:dyDescent="0.3">
      <c r="A748" s="808"/>
      <c r="B748" s="550"/>
      <c r="C748" s="161"/>
      <c r="D748" s="573"/>
      <c r="E748" s="573"/>
      <c r="F748" s="163"/>
      <c r="G748" s="163"/>
      <c r="H748" s="161"/>
      <c r="I748" s="163"/>
      <c r="J748" s="423"/>
      <c r="K748" s="195"/>
      <c r="L748" s="435"/>
      <c r="M748" s="925"/>
      <c r="N748" s="925"/>
      <c r="O748" s="165"/>
      <c r="P748" s="165"/>
      <c r="Q748" s="435"/>
      <c r="R748" s="168"/>
      <c r="S748" s="48" t="s">
        <v>99</v>
      </c>
      <c r="T748" s="49" t="s">
        <v>7852</v>
      </c>
      <c r="U748" s="25">
        <v>17600</v>
      </c>
      <c r="V748" s="25"/>
      <c r="W748" s="25"/>
      <c r="X748" s="25">
        <v>13800</v>
      </c>
      <c r="Y748" s="25"/>
      <c r="Z748" s="25"/>
      <c r="AA748" s="25" t="s">
        <v>85</v>
      </c>
      <c r="AB748" s="25" t="s">
        <v>16</v>
      </c>
      <c r="AC748" s="25">
        <v>3</v>
      </c>
      <c r="AD748" s="52" t="s">
        <v>7856</v>
      </c>
      <c r="AE748" s="52" t="s">
        <v>7859</v>
      </c>
      <c r="AF748" s="52" t="s">
        <v>37</v>
      </c>
      <c r="AG748" s="745">
        <v>44361</v>
      </c>
      <c r="AH748" s="52"/>
      <c r="AI748" s="25"/>
      <c r="AJ748" s="653"/>
    </row>
    <row r="749" spans="1:36" ht="26.25" x14ac:dyDescent="0.25">
      <c r="A749" s="808"/>
      <c r="B749" s="550"/>
      <c r="C749" s="161"/>
      <c r="D749" s="573"/>
      <c r="E749" s="573"/>
      <c r="F749" s="163"/>
      <c r="G749" s="163"/>
      <c r="H749" s="161"/>
      <c r="I749" s="163"/>
      <c r="J749" s="423"/>
      <c r="K749" s="194">
        <v>977</v>
      </c>
      <c r="L749" s="434" t="s">
        <v>7850</v>
      </c>
      <c r="M749" s="919">
        <v>1937121.0068999999</v>
      </c>
      <c r="N749" s="919">
        <v>5763733.5067999996</v>
      </c>
      <c r="O749" s="157" t="s">
        <v>7874</v>
      </c>
      <c r="P749" s="157">
        <v>3</v>
      </c>
      <c r="Q749" s="433" t="s">
        <v>7875</v>
      </c>
      <c r="R749" s="160" t="s">
        <v>85</v>
      </c>
      <c r="S749" s="656" t="s">
        <v>47</v>
      </c>
      <c r="T749" s="43" t="s">
        <v>7857</v>
      </c>
      <c r="U749" s="24">
        <v>9500</v>
      </c>
      <c r="V749" s="24"/>
      <c r="W749" s="24"/>
      <c r="X749" s="24">
        <v>8000</v>
      </c>
      <c r="Y749" s="24"/>
      <c r="Z749" s="24"/>
      <c r="AA749" s="24" t="s">
        <v>85</v>
      </c>
      <c r="AB749" s="24" t="s">
        <v>16</v>
      </c>
      <c r="AC749" s="24">
        <v>3</v>
      </c>
      <c r="AD749" s="46" t="s">
        <v>7858</v>
      </c>
      <c r="AE749" s="40" t="s">
        <v>7859</v>
      </c>
      <c r="AF749" s="40" t="s">
        <v>37</v>
      </c>
      <c r="AG749" s="744">
        <v>44361</v>
      </c>
      <c r="AH749" s="46"/>
      <c r="AI749" s="24"/>
      <c r="AJ749" s="1107"/>
    </row>
    <row r="750" spans="1:36" ht="26.25" x14ac:dyDescent="0.25">
      <c r="A750" s="808"/>
      <c r="B750" s="550"/>
      <c r="C750" s="161"/>
      <c r="D750" s="573"/>
      <c r="E750" s="573"/>
      <c r="F750" s="163"/>
      <c r="G750" s="163"/>
      <c r="H750" s="161"/>
      <c r="I750" s="163"/>
      <c r="J750" s="423"/>
      <c r="K750" s="194"/>
      <c r="L750" s="434"/>
      <c r="M750" s="919"/>
      <c r="N750" s="919"/>
      <c r="O750" s="161"/>
      <c r="P750" s="161"/>
      <c r="Q750" s="434"/>
      <c r="R750" s="164"/>
      <c r="S750" s="658" t="s">
        <v>91</v>
      </c>
      <c r="T750" s="43" t="s">
        <v>4860</v>
      </c>
      <c r="U750" s="24">
        <v>13800</v>
      </c>
      <c r="V750" s="24"/>
      <c r="W750" s="24"/>
      <c r="X750" s="24">
        <v>9500</v>
      </c>
      <c r="Y750" s="24"/>
      <c r="Z750" s="24"/>
      <c r="AA750" s="24" t="s">
        <v>85</v>
      </c>
      <c r="AB750" s="24" t="s">
        <v>16</v>
      </c>
      <c r="AC750" s="24">
        <v>3</v>
      </c>
      <c r="AD750" s="46" t="s">
        <v>7858</v>
      </c>
      <c r="AE750" s="46" t="s">
        <v>7859</v>
      </c>
      <c r="AF750" s="46" t="s">
        <v>37</v>
      </c>
      <c r="AG750" s="746">
        <v>44361</v>
      </c>
      <c r="AH750" s="46"/>
      <c r="AI750" s="24"/>
      <c r="AJ750" s="1107"/>
    </row>
    <row r="751" spans="1:36" ht="27" thickBot="1" x14ac:dyDescent="0.3">
      <c r="A751" s="809"/>
      <c r="B751" s="174"/>
      <c r="C751" s="165"/>
      <c r="D751" s="574"/>
      <c r="E751" s="574"/>
      <c r="F751" s="167"/>
      <c r="G751" s="167"/>
      <c r="H751" s="165"/>
      <c r="I751" s="167"/>
      <c r="J751" s="424"/>
      <c r="K751" s="195"/>
      <c r="L751" s="435"/>
      <c r="M751" s="925"/>
      <c r="N751" s="925"/>
      <c r="O751" s="165"/>
      <c r="P751" s="165"/>
      <c r="Q751" s="435"/>
      <c r="R751" s="168"/>
      <c r="S751" s="48" t="s">
        <v>92</v>
      </c>
      <c r="T751" s="43" t="s">
        <v>4860</v>
      </c>
      <c r="U751" s="24">
        <v>13800</v>
      </c>
      <c r="V751" s="24"/>
      <c r="W751" s="24"/>
      <c r="X751" s="24">
        <v>9500</v>
      </c>
      <c r="Y751" s="24"/>
      <c r="Z751" s="24"/>
      <c r="AA751" s="24" t="s">
        <v>85</v>
      </c>
      <c r="AB751" s="24" t="s">
        <v>16</v>
      </c>
      <c r="AC751" s="24">
        <v>3</v>
      </c>
      <c r="AD751" s="46" t="s">
        <v>7858</v>
      </c>
      <c r="AE751" s="46" t="s">
        <v>7859</v>
      </c>
      <c r="AF751" s="46" t="s">
        <v>37</v>
      </c>
      <c r="AG751" s="746">
        <v>44361</v>
      </c>
      <c r="AH751" s="46"/>
      <c r="AI751" s="24"/>
      <c r="AJ751" s="1107"/>
    </row>
    <row r="752" spans="1:36" ht="141" x14ac:dyDescent="0.25">
      <c r="A752" s="488" t="s">
        <v>7669</v>
      </c>
      <c r="B752" s="131" t="s">
        <v>7669</v>
      </c>
      <c r="C752" s="75">
        <v>316</v>
      </c>
      <c r="D752" s="568" t="s">
        <v>53</v>
      </c>
      <c r="E752" s="568" t="s">
        <v>52</v>
      </c>
      <c r="F752" s="118"/>
      <c r="G752" s="118"/>
      <c r="H752" s="75"/>
      <c r="I752" s="118"/>
      <c r="J752" s="121"/>
      <c r="K752" s="187">
        <v>1115</v>
      </c>
      <c r="L752" s="73" t="s">
        <v>7148</v>
      </c>
      <c r="M752" s="914">
        <v>1873370.2782000001</v>
      </c>
      <c r="N752" s="914">
        <v>5514632.2148000002</v>
      </c>
      <c r="O752" s="72" t="s">
        <v>41</v>
      </c>
      <c r="P752" s="72">
        <v>4</v>
      </c>
      <c r="Q752" s="73" t="s">
        <v>2156</v>
      </c>
      <c r="R752" s="74" t="s">
        <v>2156</v>
      </c>
      <c r="S752" s="737" t="s">
        <v>47</v>
      </c>
      <c r="T752" s="340" t="s">
        <v>7027</v>
      </c>
      <c r="U752" s="31">
        <v>200</v>
      </c>
      <c r="V752" s="31"/>
      <c r="W752" s="31"/>
      <c r="X752" s="31"/>
      <c r="Y752" s="31"/>
      <c r="Z752" s="31"/>
      <c r="AA752" s="31" t="s">
        <v>85</v>
      </c>
      <c r="AB752" s="31" t="s">
        <v>10</v>
      </c>
      <c r="AC752" s="31">
        <v>3</v>
      </c>
      <c r="AD752" s="40" t="s">
        <v>7164</v>
      </c>
      <c r="AE752" s="40" t="s">
        <v>1682</v>
      </c>
      <c r="AF752" s="40" t="s">
        <v>1380</v>
      </c>
      <c r="AG752" s="744">
        <v>44223</v>
      </c>
      <c r="AH752" s="40"/>
      <c r="AI752" s="744">
        <v>44348</v>
      </c>
      <c r="AJ752" s="652" t="s">
        <v>37</v>
      </c>
    </row>
    <row r="753" spans="1:36" ht="128.25" x14ac:dyDescent="0.25">
      <c r="A753" s="488"/>
      <c r="B753" s="131"/>
      <c r="C753" s="75"/>
      <c r="D753" s="568"/>
      <c r="E753" s="568"/>
      <c r="F753" s="118"/>
      <c r="G753" s="118"/>
      <c r="H753" s="75"/>
      <c r="I753" s="118"/>
      <c r="J753" s="121"/>
      <c r="K753" s="188"/>
      <c r="L753" s="547"/>
      <c r="M753" s="926"/>
      <c r="N753" s="926"/>
      <c r="O753" s="407"/>
      <c r="P753" s="407"/>
      <c r="Q753" s="547"/>
      <c r="R753" s="77"/>
      <c r="S753" s="654" t="s">
        <v>91</v>
      </c>
      <c r="T753" s="337" t="s">
        <v>7149</v>
      </c>
      <c r="V753" s="2">
        <v>7880</v>
      </c>
      <c r="W753" s="2">
        <v>8290</v>
      </c>
      <c r="Y753" s="2">
        <v>0</v>
      </c>
      <c r="Z753" s="2">
        <v>310</v>
      </c>
      <c r="AA753" s="2" t="s">
        <v>16</v>
      </c>
      <c r="AB753" s="2" t="s">
        <v>16</v>
      </c>
      <c r="AC753" s="2">
        <v>2</v>
      </c>
      <c r="AD753" s="3" t="s">
        <v>7165</v>
      </c>
      <c r="AE753" s="3" t="s">
        <v>1682</v>
      </c>
      <c r="AF753" s="3" t="s">
        <v>1380</v>
      </c>
      <c r="AG753" s="747">
        <v>44223</v>
      </c>
      <c r="AI753" s="747">
        <v>44348</v>
      </c>
      <c r="AJ753" s="1107" t="s">
        <v>37</v>
      </c>
    </row>
    <row r="754" spans="1:36" ht="102.75" x14ac:dyDescent="0.25">
      <c r="A754" s="488"/>
      <c r="B754" s="131"/>
      <c r="C754" s="75"/>
      <c r="D754" s="568"/>
      <c r="E754" s="568"/>
      <c r="F754" s="118"/>
      <c r="G754" s="118"/>
      <c r="H754" s="75"/>
      <c r="I754" s="118"/>
      <c r="J754" s="121"/>
      <c r="K754" s="188"/>
      <c r="L754" s="547"/>
      <c r="M754" s="926"/>
      <c r="N754" s="926"/>
      <c r="O754" s="407"/>
      <c r="P754" s="407"/>
      <c r="Q754" s="547"/>
      <c r="R754" s="77"/>
      <c r="S754" s="654" t="s">
        <v>92</v>
      </c>
      <c r="T754" s="738" t="s">
        <v>7150</v>
      </c>
      <c r="V754" s="2">
        <v>7880</v>
      </c>
      <c r="W754" s="2">
        <v>8290</v>
      </c>
      <c r="AA754" s="2" t="s">
        <v>85</v>
      </c>
      <c r="AB754" s="2" t="s">
        <v>16</v>
      </c>
      <c r="AC754" s="2">
        <v>3</v>
      </c>
      <c r="AD754" s="3" t="s">
        <v>7166</v>
      </c>
      <c r="AE754" s="3" t="s">
        <v>1682</v>
      </c>
      <c r="AF754" s="3" t="s">
        <v>1380</v>
      </c>
      <c r="AG754" s="747">
        <v>44223</v>
      </c>
      <c r="AI754" s="747">
        <v>44348</v>
      </c>
      <c r="AJ754" s="1107" t="s">
        <v>37</v>
      </c>
    </row>
    <row r="755" spans="1:36" ht="129" thickBot="1" x14ac:dyDescent="0.3">
      <c r="A755" s="488"/>
      <c r="B755" s="131"/>
      <c r="C755" s="75"/>
      <c r="D755" s="568"/>
      <c r="E755" s="568"/>
      <c r="F755" s="118"/>
      <c r="G755" s="118"/>
      <c r="H755" s="75"/>
      <c r="I755" s="118"/>
      <c r="J755" s="121"/>
      <c r="K755" s="192"/>
      <c r="L755" s="79"/>
      <c r="M755" s="916"/>
      <c r="N755" s="916"/>
      <c r="O755" s="78"/>
      <c r="P755" s="78"/>
      <c r="Q755" s="79"/>
      <c r="R755" s="80"/>
      <c r="S755" s="655" t="s">
        <v>99</v>
      </c>
      <c r="T755" s="335" t="s">
        <v>7151</v>
      </c>
      <c r="U755" s="25"/>
      <c r="V755" s="25"/>
      <c r="W755" s="25"/>
      <c r="X755" s="25"/>
      <c r="Y755" s="25">
        <v>7880</v>
      </c>
      <c r="Z755" s="25">
        <v>8290</v>
      </c>
      <c r="AA755" s="25" t="s">
        <v>85</v>
      </c>
      <c r="AB755" s="25" t="s">
        <v>16</v>
      </c>
      <c r="AC755" s="25">
        <v>3</v>
      </c>
      <c r="AD755" s="52" t="s">
        <v>7167</v>
      </c>
      <c r="AE755" s="52" t="s">
        <v>1682</v>
      </c>
      <c r="AF755" s="52" t="s">
        <v>1380</v>
      </c>
      <c r="AG755" s="745">
        <v>44223</v>
      </c>
      <c r="AH755" s="52"/>
      <c r="AI755" s="745">
        <v>44348</v>
      </c>
      <c r="AJ755" s="653" t="s">
        <v>37</v>
      </c>
    </row>
    <row r="756" spans="1:36" ht="90" x14ac:dyDescent="0.25">
      <c r="A756" s="488"/>
      <c r="B756" s="131"/>
      <c r="C756" s="75"/>
      <c r="D756" s="568"/>
      <c r="E756" s="568"/>
      <c r="F756" s="118"/>
      <c r="G756" s="118"/>
      <c r="H756" s="75"/>
      <c r="I756" s="118"/>
      <c r="J756" s="121"/>
      <c r="K756" s="187">
        <v>1116</v>
      </c>
      <c r="L756" s="73" t="s">
        <v>7152</v>
      </c>
      <c r="M756" s="914">
        <v>1873405.7567</v>
      </c>
      <c r="N756" s="914">
        <v>5514689.5614999998</v>
      </c>
      <c r="O756" s="72" t="s">
        <v>41</v>
      </c>
      <c r="P756" s="140" t="s">
        <v>5457</v>
      </c>
      <c r="Q756" s="73" t="s">
        <v>2156</v>
      </c>
      <c r="R756" s="72" t="s">
        <v>2156</v>
      </c>
      <c r="S756" s="656" t="s">
        <v>47</v>
      </c>
      <c r="T756" s="340" t="s">
        <v>7153</v>
      </c>
      <c r="U756" s="31"/>
      <c r="V756" s="31"/>
      <c r="W756" s="31"/>
      <c r="X756" s="31"/>
      <c r="Y756" s="31"/>
      <c r="Z756" s="31"/>
      <c r="AA756" s="31" t="s">
        <v>16</v>
      </c>
      <c r="AB756" s="31" t="s">
        <v>10</v>
      </c>
      <c r="AC756" s="31">
        <v>2</v>
      </c>
      <c r="AD756" s="40" t="s">
        <v>7154</v>
      </c>
      <c r="AE756" s="40" t="s">
        <v>1682</v>
      </c>
      <c r="AF756" s="40" t="s">
        <v>1380</v>
      </c>
      <c r="AG756" s="744">
        <v>44223</v>
      </c>
      <c r="AH756" s="40"/>
      <c r="AI756" s="744">
        <v>44223</v>
      </c>
      <c r="AJ756" s="652" t="s">
        <v>37</v>
      </c>
    </row>
    <row r="757" spans="1:36" ht="102.75" x14ac:dyDescent="0.25">
      <c r="A757" s="488"/>
      <c r="B757" s="131"/>
      <c r="C757" s="75"/>
      <c r="D757" s="568"/>
      <c r="E757" s="568"/>
      <c r="F757" s="118"/>
      <c r="G757" s="118"/>
      <c r="H757" s="75"/>
      <c r="I757" s="118"/>
      <c r="J757" s="121"/>
      <c r="K757" s="188"/>
      <c r="L757" s="547"/>
      <c r="M757" s="926"/>
      <c r="N757" s="926"/>
      <c r="O757" s="407"/>
      <c r="P757" s="407"/>
      <c r="Q757" s="547"/>
      <c r="R757" s="407"/>
      <c r="S757" s="658" t="s">
        <v>91</v>
      </c>
      <c r="T757" s="337" t="s">
        <v>7155</v>
      </c>
      <c r="V757" s="2">
        <v>2750</v>
      </c>
      <c r="W757" s="2">
        <v>2950</v>
      </c>
      <c r="AA757" s="2" t="s">
        <v>85</v>
      </c>
      <c r="AB757" s="2" t="s">
        <v>10</v>
      </c>
      <c r="AC757" s="2">
        <v>3</v>
      </c>
      <c r="AD757" s="3" t="s">
        <v>7168</v>
      </c>
      <c r="AE757" s="3" t="s">
        <v>1682</v>
      </c>
      <c r="AF757" s="3" t="s">
        <v>1380</v>
      </c>
      <c r="AG757" s="747">
        <v>44223</v>
      </c>
      <c r="AI757" s="747">
        <v>44348</v>
      </c>
      <c r="AJ757" s="1107" t="s">
        <v>37</v>
      </c>
    </row>
    <row r="758" spans="1:36" ht="102.75" x14ac:dyDescent="0.25">
      <c r="A758" s="488"/>
      <c r="B758" s="131"/>
      <c r="C758" s="75"/>
      <c r="D758" s="568"/>
      <c r="E758" s="568"/>
      <c r="F758" s="118"/>
      <c r="G758" s="118"/>
      <c r="H758" s="75"/>
      <c r="I758" s="118"/>
      <c r="J758" s="121"/>
      <c r="K758" s="188"/>
      <c r="L758" s="547"/>
      <c r="M758" s="926"/>
      <c r="N758" s="926"/>
      <c r="O758" s="407"/>
      <c r="P758" s="407"/>
      <c r="Q758" s="547"/>
      <c r="R758" s="407"/>
      <c r="S758" s="658" t="s">
        <v>92</v>
      </c>
      <c r="T758" s="337" t="s">
        <v>7156</v>
      </c>
      <c r="Y758" s="2">
        <v>2750</v>
      </c>
      <c r="Z758" s="2">
        <v>2950</v>
      </c>
      <c r="AA758" s="2" t="s">
        <v>85</v>
      </c>
      <c r="AB758" s="2" t="s">
        <v>10</v>
      </c>
      <c r="AC758" s="2">
        <v>3</v>
      </c>
      <c r="AD758" s="3" t="s">
        <v>7169</v>
      </c>
      <c r="AE758" s="3" t="s">
        <v>1682</v>
      </c>
      <c r="AF758" s="3" t="s">
        <v>1380</v>
      </c>
      <c r="AG758" s="747">
        <v>44223</v>
      </c>
      <c r="AI758" s="747">
        <v>44348</v>
      </c>
      <c r="AJ758" s="1107" t="s">
        <v>37</v>
      </c>
    </row>
    <row r="759" spans="1:36" ht="51.75" x14ac:dyDescent="0.25">
      <c r="A759" s="488"/>
      <c r="B759" s="131"/>
      <c r="C759" s="75"/>
      <c r="D759" s="568"/>
      <c r="E759" s="568"/>
      <c r="F759" s="118"/>
      <c r="G759" s="118"/>
      <c r="H759" s="75"/>
      <c r="I759" s="118"/>
      <c r="J759" s="121"/>
      <c r="K759" s="188"/>
      <c r="L759" s="547"/>
      <c r="M759" s="926"/>
      <c r="N759" s="926"/>
      <c r="O759" s="407"/>
      <c r="P759" s="407"/>
      <c r="Q759" s="547"/>
      <c r="R759" s="407"/>
      <c r="S759" s="658" t="s">
        <v>99</v>
      </c>
      <c r="T759" s="337"/>
      <c r="AD759" s="3" t="s">
        <v>7157</v>
      </c>
      <c r="AE759" s="3" t="s">
        <v>1682</v>
      </c>
      <c r="AF759" s="3" t="s">
        <v>1380</v>
      </c>
      <c r="AG759" s="747">
        <v>44223</v>
      </c>
      <c r="AI759" s="747">
        <v>44348</v>
      </c>
      <c r="AJ759" s="1107" t="s">
        <v>37</v>
      </c>
    </row>
    <row r="760" spans="1:36" ht="78" thickBot="1" x14ac:dyDescent="0.3">
      <c r="A760" s="488"/>
      <c r="B760" s="131"/>
      <c r="C760" s="75"/>
      <c r="D760" s="568"/>
      <c r="E760" s="568"/>
      <c r="F760" s="118"/>
      <c r="G760" s="118"/>
      <c r="H760" s="75"/>
      <c r="I760" s="118"/>
      <c r="J760" s="121"/>
      <c r="K760" s="192"/>
      <c r="L760" s="79"/>
      <c r="M760" s="916"/>
      <c r="N760" s="916"/>
      <c r="O760" s="78"/>
      <c r="P760" s="78"/>
      <c r="Q760" s="79"/>
      <c r="R760" s="78"/>
      <c r="S760" s="657" t="s">
        <v>100</v>
      </c>
      <c r="T760" s="335"/>
      <c r="U760" s="25"/>
      <c r="V760" s="25"/>
      <c r="W760" s="25"/>
      <c r="X760" s="25"/>
      <c r="Y760" s="25"/>
      <c r="Z760" s="25"/>
      <c r="AA760" s="25"/>
      <c r="AB760" s="25"/>
      <c r="AC760" s="25"/>
      <c r="AD760" s="52" t="s">
        <v>7158</v>
      </c>
      <c r="AE760" s="52" t="s">
        <v>1682</v>
      </c>
      <c r="AF760" s="52" t="s">
        <v>1380</v>
      </c>
      <c r="AG760" s="745">
        <v>44223</v>
      </c>
      <c r="AH760" s="52"/>
      <c r="AI760" s="745">
        <v>44348</v>
      </c>
      <c r="AJ760" s="653" t="s">
        <v>37</v>
      </c>
    </row>
    <row r="761" spans="1:36" ht="77.25" x14ac:dyDescent="0.25">
      <c r="A761" s="488"/>
      <c r="B761" s="131"/>
      <c r="C761" s="75"/>
      <c r="D761" s="568"/>
      <c r="E761" s="568"/>
      <c r="F761" s="118"/>
      <c r="G761" s="118"/>
      <c r="H761" s="75"/>
      <c r="I761" s="118"/>
      <c r="J761" s="121"/>
      <c r="K761" s="187" t="s">
        <v>2156</v>
      </c>
      <c r="L761" s="73" t="s">
        <v>7159</v>
      </c>
      <c r="M761" s="914" t="s">
        <v>2156</v>
      </c>
      <c r="N761" s="914" t="s">
        <v>2156</v>
      </c>
      <c r="O761" s="72" t="s">
        <v>41</v>
      </c>
      <c r="P761" s="72">
        <v>4</v>
      </c>
      <c r="Q761" s="73" t="s">
        <v>2156</v>
      </c>
      <c r="R761" s="74" t="s">
        <v>2156</v>
      </c>
      <c r="S761" s="656" t="s">
        <v>47</v>
      </c>
      <c r="T761" s="340" t="s">
        <v>7160</v>
      </c>
      <c r="U761" s="31">
        <v>100</v>
      </c>
      <c r="V761" s="31"/>
      <c r="W761" s="31"/>
      <c r="X761" s="31"/>
      <c r="Y761" s="31"/>
      <c r="Z761" s="31"/>
      <c r="AA761" s="31" t="s">
        <v>16</v>
      </c>
      <c r="AB761" s="31" t="s">
        <v>10</v>
      </c>
      <c r="AC761" s="31">
        <v>2</v>
      </c>
      <c r="AD761" s="40" t="s">
        <v>7161</v>
      </c>
      <c r="AE761" s="40" t="s">
        <v>1682</v>
      </c>
      <c r="AF761" s="40" t="s">
        <v>1380</v>
      </c>
      <c r="AG761" s="744">
        <v>44223</v>
      </c>
      <c r="AH761" s="40"/>
      <c r="AI761" s="744">
        <v>44348</v>
      </c>
      <c r="AJ761" s="652" t="s">
        <v>37</v>
      </c>
    </row>
    <row r="762" spans="1:36" ht="64.5" x14ac:dyDescent="0.25">
      <c r="A762" s="488"/>
      <c r="B762" s="131"/>
      <c r="C762" s="75"/>
      <c r="D762" s="568"/>
      <c r="E762" s="568"/>
      <c r="F762" s="118"/>
      <c r="G762" s="118"/>
      <c r="H762" s="75"/>
      <c r="I762" s="118"/>
      <c r="J762" s="121"/>
      <c r="K762" s="188"/>
      <c r="L762" s="547"/>
      <c r="M762" s="926"/>
      <c r="N762" s="926"/>
      <c r="O762" s="407"/>
      <c r="P762" s="407"/>
      <c r="Q762" s="547"/>
      <c r="R762" s="77"/>
      <c r="S762" s="658" t="s">
        <v>91</v>
      </c>
      <c r="T762" s="337" t="s">
        <v>7162</v>
      </c>
      <c r="V762" s="2">
        <v>7880</v>
      </c>
      <c r="W762" s="2">
        <v>8290</v>
      </c>
      <c r="Y762" s="2">
        <v>0</v>
      </c>
      <c r="Z762" s="2">
        <v>310</v>
      </c>
      <c r="AA762" s="2" t="s">
        <v>85</v>
      </c>
      <c r="AB762" s="2" t="s">
        <v>16</v>
      </c>
      <c r="AC762" s="2">
        <v>3</v>
      </c>
      <c r="AD762" s="3" t="s">
        <v>7170</v>
      </c>
      <c r="AE762" s="3" t="s">
        <v>1682</v>
      </c>
      <c r="AF762" s="3" t="s">
        <v>1380</v>
      </c>
      <c r="AG762" s="747">
        <v>44223</v>
      </c>
      <c r="AI762" s="747">
        <v>44348</v>
      </c>
      <c r="AJ762" s="1107" t="s">
        <v>37</v>
      </c>
    </row>
    <row r="763" spans="1:36" ht="64.5" x14ac:dyDescent="0.25">
      <c r="A763" s="488"/>
      <c r="B763" s="131"/>
      <c r="C763" s="75"/>
      <c r="D763" s="568"/>
      <c r="E763" s="568"/>
      <c r="F763" s="118"/>
      <c r="G763" s="118"/>
      <c r="H763" s="75"/>
      <c r="I763" s="118"/>
      <c r="J763" s="121"/>
      <c r="K763" s="188"/>
      <c r="L763" s="547"/>
      <c r="M763" s="926"/>
      <c r="N763" s="926"/>
      <c r="O763" s="407"/>
      <c r="P763" s="407"/>
      <c r="Q763" s="547"/>
      <c r="R763" s="77"/>
      <c r="S763" s="658" t="s">
        <v>92</v>
      </c>
      <c r="T763" s="337" t="s">
        <v>7163</v>
      </c>
      <c r="V763" s="2">
        <v>7880</v>
      </c>
      <c r="W763" s="2">
        <v>8290</v>
      </c>
      <c r="Y763" s="2">
        <v>2750</v>
      </c>
      <c r="Z763" s="2">
        <v>2950</v>
      </c>
      <c r="AA763" s="2" t="s">
        <v>16</v>
      </c>
      <c r="AB763" s="2" t="s">
        <v>10</v>
      </c>
      <c r="AC763" s="2">
        <v>2</v>
      </c>
      <c r="AD763" s="3" t="s">
        <v>7171</v>
      </c>
      <c r="AE763" s="3" t="s">
        <v>1682</v>
      </c>
      <c r="AF763" s="3" t="s">
        <v>1380</v>
      </c>
      <c r="AG763" s="747">
        <v>44223</v>
      </c>
      <c r="AI763" s="747">
        <v>44348</v>
      </c>
      <c r="AJ763" s="1107" t="s">
        <v>37</v>
      </c>
    </row>
    <row r="764" spans="1:36" ht="90.75" thickBot="1" x14ac:dyDescent="0.3">
      <c r="A764" s="489"/>
      <c r="B764" s="133"/>
      <c r="C764" s="78"/>
      <c r="D764" s="569"/>
      <c r="E764" s="569"/>
      <c r="F764" s="119"/>
      <c r="G764" s="119"/>
      <c r="H764" s="78"/>
      <c r="I764" s="119"/>
      <c r="J764" s="429"/>
      <c r="K764" s="192"/>
      <c r="L764" s="79"/>
      <c r="M764" s="916"/>
      <c r="N764" s="916"/>
      <c r="O764" s="78"/>
      <c r="P764" s="78"/>
      <c r="Q764" s="79"/>
      <c r="R764" s="80"/>
      <c r="S764" s="657" t="s">
        <v>99</v>
      </c>
      <c r="T764" s="335" t="s">
        <v>7151</v>
      </c>
      <c r="U764" s="25"/>
      <c r="V764" s="25"/>
      <c r="W764" s="25"/>
      <c r="X764" s="25"/>
      <c r="Y764" s="25">
        <v>7880</v>
      </c>
      <c r="Z764" s="25">
        <v>8290</v>
      </c>
      <c r="AA764" s="25" t="s">
        <v>85</v>
      </c>
      <c r="AB764" s="25" t="s">
        <v>16</v>
      </c>
      <c r="AC764" s="25">
        <v>3</v>
      </c>
      <c r="AD764" s="52" t="s">
        <v>7172</v>
      </c>
      <c r="AE764" s="52" t="s">
        <v>1682</v>
      </c>
      <c r="AF764" s="52" t="s">
        <v>1380</v>
      </c>
      <c r="AG764" s="745">
        <v>44223</v>
      </c>
      <c r="AH764" s="52"/>
      <c r="AI764" s="745">
        <v>44348</v>
      </c>
      <c r="AJ764" s="653" t="s">
        <v>37</v>
      </c>
    </row>
    <row r="765" spans="1:36" ht="90" x14ac:dyDescent="0.25">
      <c r="A765" s="341" t="s">
        <v>1739</v>
      </c>
      <c r="B765" s="181" t="s">
        <v>6828</v>
      </c>
      <c r="C765" s="125">
        <v>282</v>
      </c>
      <c r="D765" s="585" t="s">
        <v>53</v>
      </c>
      <c r="E765" s="585" t="s">
        <v>52</v>
      </c>
      <c r="F765" s="126" t="s">
        <v>7174</v>
      </c>
      <c r="G765" s="126">
        <v>5</v>
      </c>
      <c r="H765" s="125" t="s">
        <v>16</v>
      </c>
      <c r="I765" s="181" t="s">
        <v>7922</v>
      </c>
      <c r="J765" s="247" t="s">
        <v>7175</v>
      </c>
      <c r="K765" s="189">
        <v>1000</v>
      </c>
      <c r="L765" s="355" t="s">
        <v>7173</v>
      </c>
      <c r="M765" s="911">
        <v>1791363.6839000001</v>
      </c>
      <c r="N765" s="911">
        <v>5443174.5614</v>
      </c>
      <c r="O765" s="125" t="s">
        <v>41</v>
      </c>
      <c r="P765" s="125">
        <v>2</v>
      </c>
      <c r="Q765" s="355" t="s">
        <v>2156</v>
      </c>
      <c r="R765" s="134" t="s">
        <v>2156</v>
      </c>
      <c r="S765" s="656" t="s">
        <v>47</v>
      </c>
      <c r="T765" s="340" t="s">
        <v>7130</v>
      </c>
      <c r="U765" s="31">
        <v>95</v>
      </c>
      <c r="V765" s="31">
        <v>315</v>
      </c>
      <c r="W765" s="31">
        <v>490</v>
      </c>
      <c r="X765" s="31"/>
      <c r="Y765" s="31"/>
      <c r="Z765" s="31"/>
      <c r="AA765" s="31" t="s">
        <v>10</v>
      </c>
      <c r="AB765" s="31" t="s">
        <v>10</v>
      </c>
      <c r="AC765" s="31">
        <v>1</v>
      </c>
      <c r="AD765" s="40" t="s">
        <v>7223</v>
      </c>
      <c r="AE765" s="40" t="s">
        <v>7175</v>
      </c>
      <c r="AF765" s="40" t="s">
        <v>1380</v>
      </c>
      <c r="AG765" s="744">
        <v>44217</v>
      </c>
      <c r="AH765" s="40"/>
      <c r="AI765" s="744">
        <v>44348</v>
      </c>
      <c r="AJ765" s="1135" t="s">
        <v>37</v>
      </c>
    </row>
    <row r="766" spans="1:36" ht="103.5" thickBot="1" x14ac:dyDescent="0.3">
      <c r="A766" s="339"/>
      <c r="B766" s="116"/>
      <c r="C766" s="95"/>
      <c r="D766" s="567"/>
      <c r="E766" s="567"/>
      <c r="F766" s="108"/>
      <c r="G766" s="108"/>
      <c r="H766" s="95"/>
      <c r="I766" s="116"/>
      <c r="J766" s="122"/>
      <c r="K766" s="190"/>
      <c r="L766" s="357"/>
      <c r="M766" s="912"/>
      <c r="N766" s="912"/>
      <c r="O766" s="96"/>
      <c r="P766" s="96"/>
      <c r="Q766" s="357"/>
      <c r="R766" s="100"/>
      <c r="S766" s="658" t="s">
        <v>91</v>
      </c>
      <c r="T766" s="337" t="s">
        <v>7176</v>
      </c>
      <c r="Y766" s="2">
        <v>497</v>
      </c>
      <c r="Z766" s="2">
        <v>546</v>
      </c>
      <c r="AA766" s="2" t="s">
        <v>85</v>
      </c>
      <c r="AB766" s="2" t="s">
        <v>16</v>
      </c>
      <c r="AC766" s="2">
        <v>3</v>
      </c>
      <c r="AD766" s="3" t="s">
        <v>7518</v>
      </c>
      <c r="AE766" s="3" t="s">
        <v>7175</v>
      </c>
      <c r="AF766" s="3" t="s">
        <v>1380</v>
      </c>
      <c r="AG766" s="747">
        <v>44217</v>
      </c>
      <c r="AI766" s="747">
        <v>44348</v>
      </c>
      <c r="AJ766" s="1131" t="s">
        <v>37</v>
      </c>
    </row>
    <row r="767" spans="1:36" ht="90" x14ac:dyDescent="0.25">
      <c r="A767" s="339"/>
      <c r="B767" s="116"/>
      <c r="C767" s="95"/>
      <c r="D767" s="567"/>
      <c r="E767" s="567"/>
      <c r="F767" s="108"/>
      <c r="G767" s="108"/>
      <c r="H767" s="95"/>
      <c r="I767" s="116"/>
      <c r="J767" s="116"/>
      <c r="K767" s="189">
        <v>1001</v>
      </c>
      <c r="L767" s="355" t="s">
        <v>7177</v>
      </c>
      <c r="M767" s="911">
        <v>1788139.6702000001</v>
      </c>
      <c r="N767" s="911">
        <v>5439890.0817999998</v>
      </c>
      <c r="O767" s="125" t="s">
        <v>41</v>
      </c>
      <c r="P767" s="125">
        <v>5</v>
      </c>
      <c r="Q767" s="355" t="s">
        <v>2156</v>
      </c>
      <c r="R767" s="134" t="s">
        <v>2156</v>
      </c>
      <c r="S767" s="737" t="s">
        <v>47</v>
      </c>
      <c r="T767" s="340" t="s">
        <v>7130</v>
      </c>
      <c r="U767" s="31">
        <v>95</v>
      </c>
      <c r="V767" s="31">
        <v>800</v>
      </c>
      <c r="W767" s="31">
        <v>970</v>
      </c>
      <c r="X767" s="31"/>
      <c r="Y767" s="31"/>
      <c r="Z767" s="31"/>
      <c r="AA767" s="31" t="s">
        <v>10</v>
      </c>
      <c r="AB767" s="31" t="s">
        <v>10</v>
      </c>
      <c r="AC767" s="31">
        <v>1</v>
      </c>
      <c r="AD767" s="40" t="s">
        <v>7520</v>
      </c>
      <c r="AE767" s="40" t="s">
        <v>7175</v>
      </c>
      <c r="AF767" s="40" t="s">
        <v>1380</v>
      </c>
      <c r="AG767" s="744">
        <v>44217</v>
      </c>
      <c r="AH767" s="40"/>
      <c r="AI767" s="744">
        <v>44348</v>
      </c>
      <c r="AJ767" s="1135" t="s">
        <v>37</v>
      </c>
    </row>
    <row r="768" spans="1:36" ht="64.5" x14ac:dyDescent="0.25">
      <c r="A768" s="339"/>
      <c r="B768" s="116"/>
      <c r="C768" s="95"/>
      <c r="D768" s="567"/>
      <c r="E768" s="567"/>
      <c r="F768" s="108"/>
      <c r="G768" s="108"/>
      <c r="H768" s="95"/>
      <c r="I768" s="116"/>
      <c r="J768" s="116"/>
      <c r="K768" s="191"/>
      <c r="L768" s="359"/>
      <c r="M768" s="913"/>
      <c r="N768" s="913"/>
      <c r="O768" s="95"/>
      <c r="P768" s="95"/>
      <c r="Q768" s="359"/>
      <c r="R768" s="98"/>
      <c r="S768" s="654" t="s">
        <v>91</v>
      </c>
      <c r="T768" s="337" t="s">
        <v>7178</v>
      </c>
      <c r="V768" s="2">
        <v>740</v>
      </c>
      <c r="W768" s="2">
        <v>920</v>
      </c>
      <c r="Y768" s="2">
        <v>800</v>
      </c>
      <c r="Z768" s="2">
        <v>970</v>
      </c>
      <c r="AA768" s="2" t="s">
        <v>16</v>
      </c>
      <c r="AB768" s="2" t="s">
        <v>16</v>
      </c>
      <c r="AC768" s="2">
        <v>2</v>
      </c>
      <c r="AD768" s="3" t="s">
        <v>7521</v>
      </c>
      <c r="AE768" s="3" t="s">
        <v>7175</v>
      </c>
      <c r="AF768" s="3" t="s">
        <v>1380</v>
      </c>
      <c r="AG768" s="747">
        <v>44217</v>
      </c>
      <c r="AI768" s="747">
        <v>44348</v>
      </c>
      <c r="AJ768" s="1131" t="s">
        <v>37</v>
      </c>
    </row>
    <row r="769" spans="1:36" ht="102.75" x14ac:dyDescent="0.25">
      <c r="A769" s="339"/>
      <c r="B769" s="116"/>
      <c r="C769" s="95"/>
      <c r="D769" s="567"/>
      <c r="E769" s="567"/>
      <c r="F769" s="108"/>
      <c r="G769" s="108"/>
      <c r="H769" s="95"/>
      <c r="I769" s="116"/>
      <c r="J769" s="116"/>
      <c r="K769" s="191"/>
      <c r="L769" s="359"/>
      <c r="M769" s="913"/>
      <c r="N769" s="913"/>
      <c r="O769" s="95"/>
      <c r="P769" s="95"/>
      <c r="Q769" s="359"/>
      <c r="R769" s="98"/>
      <c r="S769" s="654" t="s">
        <v>92</v>
      </c>
      <c r="T769" s="337" t="s">
        <v>7179</v>
      </c>
      <c r="V769" s="2">
        <v>2110</v>
      </c>
      <c r="W769" s="2">
        <v>2340</v>
      </c>
      <c r="Y769" s="2">
        <v>740</v>
      </c>
      <c r="Z769" s="2">
        <v>920</v>
      </c>
      <c r="AA769" s="2" t="s">
        <v>16</v>
      </c>
      <c r="AB769" s="2" t="s">
        <v>16</v>
      </c>
      <c r="AC769" s="2">
        <v>2</v>
      </c>
      <c r="AD769" s="3" t="s">
        <v>7522</v>
      </c>
      <c r="AE769" s="3" t="s">
        <v>7175</v>
      </c>
      <c r="AF769" s="3" t="s">
        <v>1380</v>
      </c>
      <c r="AG769" s="747">
        <v>44217</v>
      </c>
      <c r="AI769" s="747">
        <v>44348</v>
      </c>
      <c r="AJ769" s="1131" t="s">
        <v>37</v>
      </c>
    </row>
    <row r="770" spans="1:36" ht="64.5" x14ac:dyDescent="0.25">
      <c r="A770" s="339"/>
      <c r="B770" s="116"/>
      <c r="C770" s="95"/>
      <c r="D770" s="567"/>
      <c r="E770" s="567"/>
      <c r="F770" s="108"/>
      <c r="G770" s="108"/>
      <c r="H770" s="95"/>
      <c r="I770" s="116"/>
      <c r="J770" s="116"/>
      <c r="K770" s="191"/>
      <c r="L770" s="359"/>
      <c r="M770" s="913"/>
      <c r="N770" s="913"/>
      <c r="O770" s="95"/>
      <c r="P770" s="95"/>
      <c r="Q770" s="359"/>
      <c r="R770" s="98"/>
      <c r="S770" s="654" t="s">
        <v>99</v>
      </c>
      <c r="T770" s="337" t="s">
        <v>7180</v>
      </c>
      <c r="V770" s="2">
        <v>3460</v>
      </c>
      <c r="W770" s="2">
        <v>3690</v>
      </c>
      <c r="Y770" s="2">
        <v>2970</v>
      </c>
      <c r="Z770" s="2">
        <v>3320</v>
      </c>
      <c r="AA770" s="2" t="s">
        <v>16</v>
      </c>
      <c r="AB770" s="2" t="s">
        <v>16</v>
      </c>
      <c r="AC770" s="2">
        <v>2</v>
      </c>
      <c r="AD770" s="3" t="s">
        <v>7523</v>
      </c>
      <c r="AE770" s="3" t="s">
        <v>7175</v>
      </c>
      <c r="AF770" s="3" t="s">
        <v>1380</v>
      </c>
      <c r="AG770" s="747">
        <v>44217</v>
      </c>
      <c r="AI770" s="747">
        <v>44348</v>
      </c>
      <c r="AJ770" s="1131" t="s">
        <v>37</v>
      </c>
    </row>
    <row r="771" spans="1:36" ht="65.25" thickBot="1" x14ac:dyDescent="0.3">
      <c r="A771" s="339"/>
      <c r="B771" s="116"/>
      <c r="C771" s="95"/>
      <c r="D771" s="567"/>
      <c r="E771" s="567"/>
      <c r="F771" s="108"/>
      <c r="G771" s="108"/>
      <c r="H771" s="95"/>
      <c r="I771" s="116"/>
      <c r="J771" s="116"/>
      <c r="K771" s="191"/>
      <c r="L771" s="359"/>
      <c r="M771" s="913"/>
      <c r="N771" s="913"/>
      <c r="O771" s="95"/>
      <c r="P771" s="95"/>
      <c r="Q771" s="359"/>
      <c r="R771" s="98"/>
      <c r="S771" s="654" t="s">
        <v>101</v>
      </c>
      <c r="T771" s="337" t="s">
        <v>7181</v>
      </c>
      <c r="V771" s="2">
        <v>12100</v>
      </c>
      <c r="W771" s="2">
        <v>13160</v>
      </c>
      <c r="AA771" s="2" t="s">
        <v>85</v>
      </c>
      <c r="AB771" s="2" t="s">
        <v>16</v>
      </c>
      <c r="AC771" s="2">
        <v>3</v>
      </c>
      <c r="AD771" s="3" t="s">
        <v>7524</v>
      </c>
      <c r="AE771" s="3" t="s">
        <v>7175</v>
      </c>
      <c r="AF771" s="3" t="s">
        <v>1380</v>
      </c>
      <c r="AG771" s="747">
        <v>44217</v>
      </c>
      <c r="AI771" s="747">
        <v>44348</v>
      </c>
      <c r="AJ771" s="1131" t="s">
        <v>37</v>
      </c>
    </row>
    <row r="772" spans="1:36" ht="64.5" x14ac:dyDescent="0.25">
      <c r="A772" s="339"/>
      <c r="B772" s="116"/>
      <c r="C772" s="95"/>
      <c r="D772" s="567"/>
      <c r="E772" s="567"/>
      <c r="F772" s="108"/>
      <c r="G772" s="108"/>
      <c r="H772" s="95"/>
      <c r="I772" s="116"/>
      <c r="J772" s="116"/>
      <c r="K772" s="189">
        <v>1087</v>
      </c>
      <c r="L772" s="355" t="s">
        <v>7182</v>
      </c>
      <c r="M772" s="911">
        <v>1788135.7013999999</v>
      </c>
      <c r="N772" s="911">
        <v>5439887.9650999997</v>
      </c>
      <c r="O772" s="125" t="s">
        <v>41</v>
      </c>
      <c r="P772" s="125">
        <v>4</v>
      </c>
      <c r="Q772" s="355" t="s">
        <v>2156</v>
      </c>
      <c r="R772" s="134" t="s">
        <v>2156</v>
      </c>
      <c r="S772" s="737" t="s">
        <v>92</v>
      </c>
      <c r="T772" s="340" t="s">
        <v>7183</v>
      </c>
      <c r="U772" s="31"/>
      <c r="V772" s="31">
        <v>3070</v>
      </c>
      <c r="W772" s="31">
        <v>3340</v>
      </c>
      <c r="X772" s="31"/>
      <c r="Y772" s="31"/>
      <c r="Z772" s="31"/>
      <c r="AA772" s="31" t="s">
        <v>85</v>
      </c>
      <c r="AB772" s="31" t="s">
        <v>16</v>
      </c>
      <c r="AC772" s="31">
        <v>3</v>
      </c>
      <c r="AD772" s="40" t="s">
        <v>7525</v>
      </c>
      <c r="AE772" s="40" t="s">
        <v>7175</v>
      </c>
      <c r="AF772" s="40" t="s">
        <v>1380</v>
      </c>
      <c r="AG772" s="744">
        <v>44217</v>
      </c>
      <c r="AH772" s="40"/>
      <c r="AI772" s="744">
        <v>44348</v>
      </c>
      <c r="AJ772" s="1135" t="s">
        <v>37</v>
      </c>
    </row>
    <row r="773" spans="1:36" ht="115.5" x14ac:dyDescent="0.25">
      <c r="A773" s="339"/>
      <c r="B773" s="116"/>
      <c r="C773" s="95"/>
      <c r="D773" s="567"/>
      <c r="E773" s="567"/>
      <c r="F773" s="108"/>
      <c r="G773" s="108"/>
      <c r="H773" s="95"/>
      <c r="I773" s="116"/>
      <c r="J773" s="116"/>
      <c r="K773" s="191"/>
      <c r="L773" s="359"/>
      <c r="M773" s="913"/>
      <c r="N773" s="913"/>
      <c r="O773" s="95"/>
      <c r="P773" s="95"/>
      <c r="Q773" s="359"/>
      <c r="R773" s="98"/>
      <c r="S773" s="654" t="s">
        <v>99</v>
      </c>
      <c r="T773" s="337" t="s">
        <v>7184</v>
      </c>
      <c r="V773" s="2">
        <v>4610</v>
      </c>
      <c r="W773" s="2">
        <v>4870</v>
      </c>
      <c r="Y773" s="2">
        <v>3070</v>
      </c>
      <c r="Z773" s="2">
        <v>3340</v>
      </c>
      <c r="AA773" s="2" t="s">
        <v>16</v>
      </c>
      <c r="AB773" s="2" t="s">
        <v>16</v>
      </c>
      <c r="AC773" s="2">
        <v>2</v>
      </c>
      <c r="AD773" s="3" t="s">
        <v>7526</v>
      </c>
      <c r="AE773" s="3" t="s">
        <v>7175</v>
      </c>
      <c r="AF773" s="3" t="s">
        <v>1380</v>
      </c>
      <c r="AG773" s="747">
        <v>44217</v>
      </c>
      <c r="AI773" s="747">
        <v>44348</v>
      </c>
      <c r="AJ773" s="1131" t="s">
        <v>37</v>
      </c>
    </row>
    <row r="774" spans="1:36" ht="52.5" thickBot="1" x14ac:dyDescent="0.3">
      <c r="A774" s="339"/>
      <c r="B774" s="116"/>
      <c r="C774" s="95"/>
      <c r="D774" s="567"/>
      <c r="E774" s="567"/>
      <c r="F774" s="108"/>
      <c r="G774" s="108"/>
      <c r="H774" s="95"/>
      <c r="I774" s="116"/>
      <c r="J774" s="116"/>
      <c r="K774" s="191"/>
      <c r="L774" s="359"/>
      <c r="M774" s="913"/>
      <c r="N774" s="913"/>
      <c r="O774" s="95"/>
      <c r="P774" s="95"/>
      <c r="Q774" s="359"/>
      <c r="R774" s="98"/>
      <c r="S774" s="655" t="s">
        <v>100</v>
      </c>
      <c r="T774" s="335" t="s">
        <v>7185</v>
      </c>
      <c r="U774" s="25"/>
      <c r="V774" s="25">
        <v>5040</v>
      </c>
      <c r="W774" s="25">
        <v>5450</v>
      </c>
      <c r="X774" s="25"/>
      <c r="Y774" s="25">
        <v>4620</v>
      </c>
      <c r="Z774" s="25">
        <v>4970</v>
      </c>
      <c r="AA774" s="25" t="s">
        <v>16</v>
      </c>
      <c r="AB774" s="25" t="s">
        <v>16</v>
      </c>
      <c r="AC774" s="25">
        <v>2</v>
      </c>
      <c r="AD774" s="52" t="s">
        <v>7527</v>
      </c>
      <c r="AE774" s="52" t="s">
        <v>7175</v>
      </c>
      <c r="AF774" s="52" t="s">
        <v>1380</v>
      </c>
      <c r="AG774" s="745">
        <v>44217</v>
      </c>
      <c r="AH774" s="52"/>
      <c r="AI774" s="745">
        <v>44348</v>
      </c>
      <c r="AJ774" s="1132" t="s">
        <v>37</v>
      </c>
    </row>
    <row r="775" spans="1:36" ht="64.5" x14ac:dyDescent="0.25">
      <c r="A775" s="339"/>
      <c r="B775" s="116"/>
      <c r="C775" s="95"/>
      <c r="D775" s="567"/>
      <c r="E775" s="567"/>
      <c r="F775" s="108"/>
      <c r="G775" s="108"/>
      <c r="H775" s="95"/>
      <c r="I775" s="116"/>
      <c r="J775" s="116"/>
      <c r="K775" s="189" t="s">
        <v>2156</v>
      </c>
      <c r="L775" s="355" t="s">
        <v>7186</v>
      </c>
      <c r="M775" s="911" t="s">
        <v>2156</v>
      </c>
      <c r="N775" s="911" t="s">
        <v>2156</v>
      </c>
      <c r="O775" s="125" t="s">
        <v>41</v>
      </c>
      <c r="P775" s="125" t="s">
        <v>7187</v>
      </c>
      <c r="Q775" s="355" t="s">
        <v>2156</v>
      </c>
      <c r="R775" s="134" t="s">
        <v>2156</v>
      </c>
      <c r="S775" s="654" t="s">
        <v>47</v>
      </c>
      <c r="T775" s="340" t="s">
        <v>7130</v>
      </c>
      <c r="V775" s="31">
        <v>800</v>
      </c>
      <c r="W775" s="31">
        <v>970</v>
      </c>
      <c r="AA775" s="2" t="s">
        <v>10</v>
      </c>
      <c r="AB775" s="2" t="s">
        <v>10</v>
      </c>
      <c r="AC775" s="2">
        <v>1</v>
      </c>
      <c r="AD775" s="3" t="s">
        <v>7188</v>
      </c>
      <c r="AE775" s="3" t="s">
        <v>7175</v>
      </c>
      <c r="AF775" s="3" t="s">
        <v>1380</v>
      </c>
      <c r="AG775" s="747">
        <v>44217</v>
      </c>
      <c r="AI775" s="747">
        <v>44217</v>
      </c>
      <c r="AJ775" s="1131" t="s">
        <v>37</v>
      </c>
    </row>
    <row r="776" spans="1:36" ht="64.5" x14ac:dyDescent="0.25">
      <c r="A776" s="339"/>
      <c r="B776" s="116"/>
      <c r="C776" s="95"/>
      <c r="D776" s="567"/>
      <c r="E776" s="567"/>
      <c r="F776" s="108"/>
      <c r="G776" s="108"/>
      <c r="H776" s="95"/>
      <c r="I776" s="116"/>
      <c r="J776" s="116"/>
      <c r="K776" s="191"/>
      <c r="L776" s="359"/>
      <c r="M776" s="913"/>
      <c r="N776" s="913"/>
      <c r="O776" s="95"/>
      <c r="P776" s="95"/>
      <c r="Q776" s="359"/>
      <c r="R776" s="98"/>
      <c r="S776" s="654" t="s">
        <v>91</v>
      </c>
      <c r="T776" s="337" t="s">
        <v>7178</v>
      </c>
      <c r="V776" s="2">
        <v>740</v>
      </c>
      <c r="W776" s="2">
        <v>920</v>
      </c>
      <c r="Y776" s="2">
        <v>800</v>
      </c>
      <c r="Z776" s="2">
        <v>970</v>
      </c>
      <c r="AA776" s="2" t="s">
        <v>16</v>
      </c>
      <c r="AB776" s="2" t="s">
        <v>16</v>
      </c>
      <c r="AC776" s="2">
        <v>2</v>
      </c>
      <c r="AD776" s="3" t="s">
        <v>7188</v>
      </c>
      <c r="AE776" s="3" t="s">
        <v>7175</v>
      </c>
      <c r="AF776" s="3" t="s">
        <v>1380</v>
      </c>
      <c r="AG776" s="747">
        <v>44217</v>
      </c>
      <c r="AI776" s="747">
        <v>44217</v>
      </c>
      <c r="AJ776" s="1131" t="s">
        <v>37</v>
      </c>
    </row>
    <row r="777" spans="1:36" ht="128.25" x14ac:dyDescent="0.25">
      <c r="A777" s="339"/>
      <c r="B777" s="116"/>
      <c r="C777" s="95"/>
      <c r="D777" s="567"/>
      <c r="E777" s="567"/>
      <c r="F777" s="108"/>
      <c r="G777" s="108"/>
      <c r="H777" s="95"/>
      <c r="I777" s="116"/>
      <c r="J777" s="116"/>
      <c r="K777" s="191"/>
      <c r="L777" s="359"/>
      <c r="M777" s="913"/>
      <c r="N777" s="913"/>
      <c r="O777" s="95"/>
      <c r="P777" s="95"/>
      <c r="Q777" s="359"/>
      <c r="R777" s="98"/>
      <c r="S777" s="654" t="s">
        <v>92</v>
      </c>
      <c r="T777" s="337" t="s">
        <v>7189</v>
      </c>
      <c r="V777" s="2">
        <v>2110</v>
      </c>
      <c r="W777" s="2">
        <v>2340</v>
      </c>
      <c r="Y777" s="2">
        <v>740</v>
      </c>
      <c r="Z777" s="2">
        <v>920</v>
      </c>
      <c r="AA777" s="2" t="s">
        <v>16</v>
      </c>
      <c r="AB777" s="2" t="s">
        <v>16</v>
      </c>
      <c r="AC777" s="2">
        <v>2</v>
      </c>
      <c r="AD777" s="3" t="s">
        <v>7224</v>
      </c>
      <c r="AE777" s="3" t="s">
        <v>7175</v>
      </c>
      <c r="AF777" s="3" t="s">
        <v>1380</v>
      </c>
      <c r="AG777" s="747">
        <v>44217</v>
      </c>
      <c r="AI777" s="747">
        <v>44348</v>
      </c>
      <c r="AJ777" s="1131" t="s">
        <v>37</v>
      </c>
    </row>
    <row r="778" spans="1:36" ht="77.25" x14ac:dyDescent="0.25">
      <c r="A778" s="339"/>
      <c r="B778" s="116"/>
      <c r="C778" s="95"/>
      <c r="D778" s="567"/>
      <c r="E778" s="567"/>
      <c r="F778" s="108"/>
      <c r="G778" s="108"/>
      <c r="H778" s="95"/>
      <c r="I778" s="116"/>
      <c r="J778" s="116"/>
      <c r="K778" s="191"/>
      <c r="L778" s="359"/>
      <c r="M778" s="913"/>
      <c r="N778" s="913"/>
      <c r="O778" s="95"/>
      <c r="P778" s="95"/>
      <c r="Q778" s="359"/>
      <c r="R778" s="98"/>
      <c r="S778" s="654" t="s">
        <v>99</v>
      </c>
      <c r="T778" s="337" t="s">
        <v>7190</v>
      </c>
      <c r="V778" s="2">
        <v>3460</v>
      </c>
      <c r="W778" s="2">
        <v>3690</v>
      </c>
      <c r="Y778" s="2">
        <v>3070</v>
      </c>
      <c r="Z778" s="2">
        <v>3340</v>
      </c>
      <c r="AA778" s="2" t="s">
        <v>16</v>
      </c>
      <c r="AB778" s="2" t="s">
        <v>10</v>
      </c>
      <c r="AC778" s="2">
        <v>2</v>
      </c>
      <c r="AD778" s="3" t="s">
        <v>7191</v>
      </c>
      <c r="AE778" s="3" t="s">
        <v>7175</v>
      </c>
      <c r="AF778" s="3" t="s">
        <v>1380</v>
      </c>
      <c r="AG778" s="747">
        <v>44217</v>
      </c>
      <c r="AI778" s="747">
        <v>44217</v>
      </c>
      <c r="AJ778" s="1131" t="s">
        <v>37</v>
      </c>
    </row>
    <row r="779" spans="1:36" ht="78" thickBot="1" x14ac:dyDescent="0.3">
      <c r="A779" s="339"/>
      <c r="B779" s="116"/>
      <c r="C779" s="95"/>
      <c r="D779" s="567"/>
      <c r="E779" s="567"/>
      <c r="F779" s="108"/>
      <c r="G779" s="108"/>
      <c r="H779" s="95"/>
      <c r="I779" s="116"/>
      <c r="J779" s="116"/>
      <c r="K779" s="190"/>
      <c r="L779" s="357"/>
      <c r="M779" s="912"/>
      <c r="N779" s="912"/>
      <c r="O779" s="96"/>
      <c r="P779" s="96"/>
      <c r="Q779" s="357"/>
      <c r="R779" s="100"/>
      <c r="S779" s="654" t="s">
        <v>100</v>
      </c>
      <c r="T779" s="335" t="s">
        <v>7185</v>
      </c>
      <c r="U779" s="25"/>
      <c r="V779" s="25">
        <v>5040</v>
      </c>
      <c r="W779" s="25">
        <v>5450</v>
      </c>
      <c r="X779" s="25"/>
      <c r="Y779" s="25">
        <v>4620</v>
      </c>
      <c r="Z779" s="25">
        <v>4970</v>
      </c>
      <c r="AA779" s="2" t="s">
        <v>16</v>
      </c>
      <c r="AB779" s="2" t="s">
        <v>16</v>
      </c>
      <c r="AC779" s="2">
        <v>2</v>
      </c>
      <c r="AD779" s="3" t="s">
        <v>7192</v>
      </c>
      <c r="AE779" s="3" t="s">
        <v>7175</v>
      </c>
      <c r="AF779" s="3" t="s">
        <v>1380</v>
      </c>
      <c r="AG779" s="747">
        <v>44217</v>
      </c>
      <c r="AI779" s="747">
        <v>44217</v>
      </c>
      <c r="AJ779" s="1131" t="s">
        <v>37</v>
      </c>
    </row>
    <row r="780" spans="1:36" ht="77.25" x14ac:dyDescent="0.25">
      <c r="A780" s="339"/>
      <c r="B780" s="116"/>
      <c r="C780" s="95"/>
      <c r="D780" s="567"/>
      <c r="E780" s="567"/>
      <c r="F780" s="108"/>
      <c r="G780" s="108"/>
      <c r="H780" s="95"/>
      <c r="I780" s="116"/>
      <c r="J780" s="116"/>
      <c r="K780" s="191">
        <v>1085</v>
      </c>
      <c r="L780" s="359" t="s">
        <v>7193</v>
      </c>
      <c r="M780" s="913">
        <v>1788080.1388000001</v>
      </c>
      <c r="N780" s="913">
        <v>5439911.5131000001</v>
      </c>
      <c r="O780" s="95" t="s">
        <v>41</v>
      </c>
      <c r="P780" s="95">
        <v>4</v>
      </c>
      <c r="Q780" s="359" t="s">
        <v>2156</v>
      </c>
      <c r="R780" s="98" t="s">
        <v>2156</v>
      </c>
      <c r="S780" s="737" t="s">
        <v>47</v>
      </c>
      <c r="T780" s="340" t="s">
        <v>7130</v>
      </c>
      <c r="U780" s="31"/>
      <c r="V780" s="31">
        <v>1991</v>
      </c>
      <c r="W780" s="31">
        <v>2294</v>
      </c>
      <c r="X780" s="31"/>
      <c r="Y780" s="31"/>
      <c r="Z780" s="31"/>
      <c r="AA780" s="31" t="s">
        <v>16</v>
      </c>
      <c r="AB780" s="31" t="s">
        <v>16</v>
      </c>
      <c r="AC780" s="130" t="s">
        <v>4668</v>
      </c>
      <c r="AD780" s="40" t="s">
        <v>7528</v>
      </c>
      <c r="AE780" s="40" t="s">
        <v>7175</v>
      </c>
      <c r="AF780" s="40" t="s">
        <v>1380</v>
      </c>
      <c r="AG780" s="744">
        <v>44217</v>
      </c>
      <c r="AH780" s="40"/>
      <c r="AI780" s="744">
        <v>44348</v>
      </c>
      <c r="AJ780" s="1135" t="s">
        <v>37</v>
      </c>
    </row>
    <row r="781" spans="1:36" ht="77.25" x14ac:dyDescent="0.25">
      <c r="A781" s="339"/>
      <c r="B781" s="116"/>
      <c r="C781" s="95"/>
      <c r="D781" s="567"/>
      <c r="E781" s="567"/>
      <c r="F781" s="108"/>
      <c r="G781" s="108"/>
      <c r="H781" s="95"/>
      <c r="I781" s="116"/>
      <c r="J781" s="116"/>
      <c r="K781" s="191"/>
      <c r="L781" s="359"/>
      <c r="M781" s="913"/>
      <c r="N781" s="913"/>
      <c r="O781" s="95"/>
      <c r="P781" s="95"/>
      <c r="Q781" s="359"/>
      <c r="R781" s="98"/>
      <c r="S781" s="654" t="s">
        <v>91</v>
      </c>
      <c r="T781" s="337" t="s">
        <v>7194</v>
      </c>
      <c r="V781" s="2">
        <v>1991</v>
      </c>
      <c r="W781" s="2">
        <v>2294</v>
      </c>
      <c r="AA781" s="2" t="s">
        <v>85</v>
      </c>
      <c r="AB781" s="2" t="s">
        <v>16</v>
      </c>
      <c r="AC781" s="2">
        <v>3</v>
      </c>
      <c r="AD781" s="3" t="s">
        <v>7529</v>
      </c>
      <c r="AE781" s="3" t="s">
        <v>7175</v>
      </c>
      <c r="AF781" s="3" t="s">
        <v>1380</v>
      </c>
      <c r="AG781" s="747">
        <v>44217</v>
      </c>
      <c r="AI781" s="747">
        <v>44348</v>
      </c>
      <c r="AJ781" s="1131" t="s">
        <v>37</v>
      </c>
    </row>
    <row r="782" spans="1:36" ht="64.5" x14ac:dyDescent="0.25">
      <c r="A782" s="339"/>
      <c r="B782" s="116"/>
      <c r="C782" s="95"/>
      <c r="D782" s="567"/>
      <c r="E782" s="567"/>
      <c r="F782" s="108"/>
      <c r="G782" s="108"/>
      <c r="H782" s="95"/>
      <c r="I782" s="116"/>
      <c r="J782" s="116"/>
      <c r="K782" s="191"/>
      <c r="L782" s="359"/>
      <c r="M782" s="913"/>
      <c r="N782" s="913"/>
      <c r="O782" s="95"/>
      <c r="P782" s="95"/>
      <c r="Q782" s="359"/>
      <c r="R782" s="98"/>
      <c r="S782" s="654" t="s">
        <v>92</v>
      </c>
      <c r="T782" s="337" t="s">
        <v>7195</v>
      </c>
      <c r="V782" s="2">
        <v>4620</v>
      </c>
      <c r="W782" s="2">
        <v>4970</v>
      </c>
      <c r="Y782" s="2">
        <v>1991</v>
      </c>
      <c r="Z782" s="2">
        <v>2294</v>
      </c>
      <c r="AA782" s="2" t="s">
        <v>16</v>
      </c>
      <c r="AB782" s="2" t="s">
        <v>16</v>
      </c>
      <c r="AC782" s="2">
        <v>2</v>
      </c>
      <c r="AD782" s="3" t="s">
        <v>7530</v>
      </c>
      <c r="AE782" s="3" t="s">
        <v>7175</v>
      </c>
      <c r="AF782" s="3" t="s">
        <v>1380</v>
      </c>
      <c r="AG782" s="747">
        <v>44217</v>
      </c>
      <c r="AI782" s="747">
        <v>44348</v>
      </c>
      <c r="AJ782" s="1131" t="s">
        <v>37</v>
      </c>
    </row>
    <row r="783" spans="1:36" ht="65.25" thickBot="1" x14ac:dyDescent="0.3">
      <c r="A783" s="339"/>
      <c r="B783" s="116"/>
      <c r="C783" s="95"/>
      <c r="D783" s="567"/>
      <c r="E783" s="567"/>
      <c r="F783" s="108"/>
      <c r="G783" s="108"/>
      <c r="H783" s="95"/>
      <c r="I783" s="116"/>
      <c r="J783" s="116"/>
      <c r="K783" s="190"/>
      <c r="L783" s="357"/>
      <c r="M783" s="912"/>
      <c r="N783" s="912"/>
      <c r="O783" s="96"/>
      <c r="P783" s="96"/>
      <c r="Q783" s="357"/>
      <c r="R783" s="100"/>
      <c r="S783" s="655" t="s">
        <v>99</v>
      </c>
      <c r="T783" s="335" t="s">
        <v>7196</v>
      </c>
      <c r="U783" s="25"/>
      <c r="V783" s="25"/>
      <c r="W783" s="25"/>
      <c r="X783" s="25"/>
      <c r="Y783" s="25">
        <v>4640</v>
      </c>
      <c r="Z783" s="25">
        <v>4980</v>
      </c>
      <c r="AA783" s="25" t="s">
        <v>85</v>
      </c>
      <c r="AB783" s="25" t="s">
        <v>16</v>
      </c>
      <c r="AC783" s="25">
        <v>3</v>
      </c>
      <c r="AD783" s="52" t="s">
        <v>7531</v>
      </c>
      <c r="AE783" s="52" t="s">
        <v>7175</v>
      </c>
      <c r="AF783" s="52" t="s">
        <v>1380</v>
      </c>
      <c r="AG783" s="745">
        <v>44217</v>
      </c>
      <c r="AH783" s="52"/>
      <c r="AI783" s="745">
        <v>44348</v>
      </c>
      <c r="AJ783" s="1132" t="s">
        <v>37</v>
      </c>
    </row>
    <row r="784" spans="1:36" ht="90" x14ac:dyDescent="0.25">
      <c r="A784" s="339"/>
      <c r="B784" s="116"/>
      <c r="C784" s="95"/>
      <c r="D784" s="567"/>
      <c r="E784" s="567"/>
      <c r="F784" s="108"/>
      <c r="G784" s="108"/>
      <c r="H784" s="95"/>
      <c r="I784" s="116"/>
      <c r="J784" s="122"/>
      <c r="K784" s="191">
        <v>1086</v>
      </c>
      <c r="L784" s="359" t="s">
        <v>7197</v>
      </c>
      <c r="M784" s="913">
        <v>1788086.4887999999</v>
      </c>
      <c r="N784" s="913">
        <v>5439917.8630999997</v>
      </c>
      <c r="O784" s="95" t="s">
        <v>41</v>
      </c>
      <c r="P784" s="95">
        <v>4</v>
      </c>
      <c r="Q784" s="359" t="s">
        <v>2156</v>
      </c>
      <c r="R784" s="98" t="s">
        <v>2156</v>
      </c>
      <c r="S784" s="658" t="s">
        <v>47</v>
      </c>
      <c r="T784" s="337" t="s">
        <v>7198</v>
      </c>
      <c r="V784" s="2">
        <v>1940</v>
      </c>
      <c r="W784" s="2">
        <v>2150</v>
      </c>
      <c r="AA784" s="2" t="s">
        <v>16</v>
      </c>
      <c r="AB784" s="2" t="s">
        <v>16</v>
      </c>
      <c r="AC784" s="148" t="s">
        <v>4668</v>
      </c>
      <c r="AD784" s="3" t="s">
        <v>7532</v>
      </c>
      <c r="AE784" s="3" t="s">
        <v>7175</v>
      </c>
      <c r="AF784" s="3" t="s">
        <v>1380</v>
      </c>
      <c r="AG784" s="747">
        <v>44217</v>
      </c>
      <c r="AI784" s="747">
        <v>44348</v>
      </c>
      <c r="AJ784" s="1131" t="s">
        <v>37</v>
      </c>
    </row>
    <row r="785" spans="1:36" ht="64.5" x14ac:dyDescent="0.25">
      <c r="A785" s="339"/>
      <c r="B785" s="116"/>
      <c r="C785" s="95"/>
      <c r="D785" s="567"/>
      <c r="E785" s="567"/>
      <c r="F785" s="108"/>
      <c r="G785" s="108"/>
      <c r="H785" s="95"/>
      <c r="I785" s="116"/>
      <c r="J785" s="122"/>
      <c r="K785" s="191"/>
      <c r="L785" s="359"/>
      <c r="M785" s="913"/>
      <c r="N785" s="913"/>
      <c r="O785" s="95"/>
      <c r="P785" s="95"/>
      <c r="Q785" s="359"/>
      <c r="R785" s="98"/>
      <c r="S785" s="658" t="s">
        <v>91</v>
      </c>
      <c r="T785" s="337" t="s">
        <v>7199</v>
      </c>
      <c r="V785" s="2">
        <v>1940</v>
      </c>
      <c r="W785" s="2">
        <v>2150</v>
      </c>
      <c r="AA785" s="2" t="s">
        <v>85</v>
      </c>
      <c r="AB785" s="2" t="s">
        <v>16</v>
      </c>
      <c r="AC785" s="2">
        <v>3</v>
      </c>
      <c r="AD785" s="3" t="s">
        <v>7533</v>
      </c>
      <c r="AE785" s="3" t="s">
        <v>7175</v>
      </c>
      <c r="AF785" s="3" t="s">
        <v>1380</v>
      </c>
      <c r="AG785" s="747">
        <v>44217</v>
      </c>
      <c r="AI785" s="747">
        <v>44348</v>
      </c>
      <c r="AJ785" s="1131" t="s">
        <v>37</v>
      </c>
    </row>
    <row r="786" spans="1:36" ht="64.5" x14ac:dyDescent="0.25">
      <c r="A786" s="339"/>
      <c r="B786" s="116"/>
      <c r="C786" s="95"/>
      <c r="D786" s="567"/>
      <c r="E786" s="567"/>
      <c r="F786" s="108"/>
      <c r="G786" s="108"/>
      <c r="H786" s="95"/>
      <c r="I786" s="116"/>
      <c r="J786" s="122"/>
      <c r="K786" s="191"/>
      <c r="L786" s="359"/>
      <c r="M786" s="913"/>
      <c r="N786" s="913"/>
      <c r="O786" s="95"/>
      <c r="P786" s="95"/>
      <c r="Q786" s="359"/>
      <c r="R786" s="98"/>
      <c r="S786" s="658" t="s">
        <v>92</v>
      </c>
      <c r="T786" s="337" t="s">
        <v>7200</v>
      </c>
      <c r="V786" s="2">
        <v>2790</v>
      </c>
      <c r="W786" s="2">
        <v>3080</v>
      </c>
      <c r="Y786" s="2">
        <v>1940</v>
      </c>
      <c r="Z786" s="2">
        <v>2150</v>
      </c>
      <c r="AA786" s="2" t="s">
        <v>16</v>
      </c>
      <c r="AB786" s="2" t="s">
        <v>16</v>
      </c>
      <c r="AC786" s="2">
        <v>2</v>
      </c>
      <c r="AD786" s="3" t="s">
        <v>7534</v>
      </c>
      <c r="AE786" s="3" t="s">
        <v>7175</v>
      </c>
      <c r="AF786" s="3" t="s">
        <v>1380</v>
      </c>
      <c r="AG786" s="747">
        <v>44217</v>
      </c>
      <c r="AI786" s="747">
        <v>44348</v>
      </c>
      <c r="AJ786" s="1131" t="s">
        <v>37</v>
      </c>
    </row>
    <row r="787" spans="1:36" ht="65.25" thickBot="1" x14ac:dyDescent="0.3">
      <c r="A787" s="339"/>
      <c r="B787" s="116"/>
      <c r="C787" s="95"/>
      <c r="D787" s="567"/>
      <c r="E787" s="567"/>
      <c r="F787" s="108"/>
      <c r="G787" s="108"/>
      <c r="H787" s="95"/>
      <c r="I787" s="116"/>
      <c r="J787" s="122"/>
      <c r="K787" s="190"/>
      <c r="L787" s="357"/>
      <c r="M787" s="912"/>
      <c r="N787" s="912"/>
      <c r="O787" s="96"/>
      <c r="P787" s="96"/>
      <c r="Q787" s="357"/>
      <c r="R787" s="100"/>
      <c r="S787" s="657" t="s">
        <v>99</v>
      </c>
      <c r="T787" s="335" t="s">
        <v>7201</v>
      </c>
      <c r="U787" s="25"/>
      <c r="V787" s="25">
        <v>4850</v>
      </c>
      <c r="W787" s="25">
        <v>5280</v>
      </c>
      <c r="X787" s="25"/>
      <c r="Y787" s="25">
        <v>3990</v>
      </c>
      <c r="Z787" s="25">
        <v>4410</v>
      </c>
      <c r="AA787" s="25" t="s">
        <v>16</v>
      </c>
      <c r="AB787" s="25" t="s">
        <v>16</v>
      </c>
      <c r="AC787" s="25">
        <v>2</v>
      </c>
      <c r="AD787" s="52" t="s">
        <v>7535</v>
      </c>
      <c r="AE787" s="52" t="s">
        <v>7175</v>
      </c>
      <c r="AF787" s="52" t="s">
        <v>1380</v>
      </c>
      <c r="AG787" s="745">
        <v>44217</v>
      </c>
      <c r="AH787" s="52"/>
      <c r="AI787" s="745">
        <v>44348</v>
      </c>
      <c r="AJ787" s="1132" t="s">
        <v>37</v>
      </c>
    </row>
    <row r="788" spans="1:36" ht="77.25" x14ac:dyDescent="0.25">
      <c r="A788" s="339"/>
      <c r="B788" s="116"/>
      <c r="C788" s="95"/>
      <c r="D788" s="567"/>
      <c r="E788" s="567"/>
      <c r="F788" s="108"/>
      <c r="G788" s="108"/>
      <c r="H788" s="95"/>
      <c r="I788" s="116"/>
      <c r="J788" s="122"/>
      <c r="K788" s="189" t="s">
        <v>2156</v>
      </c>
      <c r="L788" s="126" t="s">
        <v>7202</v>
      </c>
      <c r="M788" s="911" t="s">
        <v>2156</v>
      </c>
      <c r="N788" s="911" t="s">
        <v>2156</v>
      </c>
      <c r="O788" s="125" t="s">
        <v>41</v>
      </c>
      <c r="P788" s="125">
        <v>4</v>
      </c>
      <c r="Q788" s="355" t="s">
        <v>2156</v>
      </c>
      <c r="R788" s="134" t="s">
        <v>2156</v>
      </c>
      <c r="S788" s="656" t="s">
        <v>47</v>
      </c>
      <c r="T788" s="340" t="s">
        <v>7198</v>
      </c>
      <c r="U788" s="31"/>
      <c r="V788" s="31">
        <v>1940</v>
      </c>
      <c r="W788" s="31">
        <v>2150</v>
      </c>
      <c r="X788" s="31"/>
      <c r="Y788" s="31"/>
      <c r="Z788" s="31"/>
      <c r="AA788" s="31" t="s">
        <v>16</v>
      </c>
      <c r="AB788" s="31" t="s">
        <v>16</v>
      </c>
      <c r="AC788" s="130" t="s">
        <v>4668</v>
      </c>
      <c r="AD788" s="40" t="s">
        <v>7536</v>
      </c>
      <c r="AE788" s="40" t="s">
        <v>7175</v>
      </c>
      <c r="AF788" s="40" t="s">
        <v>1380</v>
      </c>
      <c r="AG788" s="744">
        <v>44217</v>
      </c>
      <c r="AH788" s="40"/>
      <c r="AI788" s="744">
        <v>44348</v>
      </c>
      <c r="AJ788" s="1135" t="s">
        <v>37</v>
      </c>
    </row>
    <row r="789" spans="1:36" ht="90" x14ac:dyDescent="0.25">
      <c r="A789" s="339"/>
      <c r="B789" s="116"/>
      <c r="C789" s="95"/>
      <c r="D789" s="567"/>
      <c r="E789" s="567"/>
      <c r="F789" s="108"/>
      <c r="G789" s="108"/>
      <c r="H789" s="95"/>
      <c r="I789" s="116"/>
      <c r="J789" s="122"/>
      <c r="K789" s="191"/>
      <c r="L789" s="108"/>
      <c r="M789" s="913"/>
      <c r="N789" s="913"/>
      <c r="O789" s="95"/>
      <c r="P789" s="95"/>
      <c r="Q789" s="359"/>
      <c r="R789" s="98"/>
      <c r="S789" s="658" t="s">
        <v>91</v>
      </c>
      <c r="T789" s="179" t="s">
        <v>7199</v>
      </c>
      <c r="U789" s="24"/>
      <c r="V789" s="24">
        <v>1940</v>
      </c>
      <c r="W789" s="24">
        <v>2150</v>
      </c>
      <c r="X789" s="24"/>
      <c r="Y789" s="24"/>
      <c r="Z789" s="24"/>
      <c r="AA789" s="24" t="s">
        <v>85</v>
      </c>
      <c r="AB789" s="24" t="s">
        <v>16</v>
      </c>
      <c r="AC789" s="24">
        <v>3</v>
      </c>
      <c r="AD789" s="46" t="s">
        <v>7537</v>
      </c>
      <c r="AE789" s="46" t="s">
        <v>7175</v>
      </c>
      <c r="AF789" s="46" t="s">
        <v>1380</v>
      </c>
      <c r="AG789" s="746">
        <v>44217</v>
      </c>
      <c r="AH789" s="46"/>
      <c r="AI789" s="746">
        <v>44348</v>
      </c>
      <c r="AJ789" s="1131" t="s">
        <v>37</v>
      </c>
    </row>
    <row r="790" spans="1:36" ht="51.75" x14ac:dyDescent="0.25">
      <c r="A790" s="339"/>
      <c r="B790" s="116"/>
      <c r="C790" s="95"/>
      <c r="D790" s="567"/>
      <c r="E790" s="567"/>
      <c r="F790" s="108"/>
      <c r="G790" s="108"/>
      <c r="H790" s="95"/>
      <c r="I790" s="116"/>
      <c r="J790" s="122"/>
      <c r="K790" s="191"/>
      <c r="L790" s="359"/>
      <c r="M790" s="913"/>
      <c r="N790" s="913"/>
      <c r="O790" s="95"/>
      <c r="P790" s="95"/>
      <c r="Q790" s="359"/>
      <c r="R790" s="98"/>
      <c r="S790" s="658" t="s">
        <v>92</v>
      </c>
      <c r="T790" s="179" t="s">
        <v>7203</v>
      </c>
      <c r="U790" s="24"/>
      <c r="V790" s="24">
        <v>2790</v>
      </c>
      <c r="W790" s="24">
        <v>3080</v>
      </c>
      <c r="X790" s="24"/>
      <c r="Y790" s="24">
        <v>1991</v>
      </c>
      <c r="Z790" s="24">
        <v>2294</v>
      </c>
      <c r="AA790" s="24" t="s">
        <v>10</v>
      </c>
      <c r="AB790" s="24" t="s">
        <v>16</v>
      </c>
      <c r="AC790" s="24">
        <v>2</v>
      </c>
      <c r="AD790" s="46" t="s">
        <v>7538</v>
      </c>
      <c r="AE790" s="46" t="s">
        <v>7175</v>
      </c>
      <c r="AF790" s="46" t="s">
        <v>1380</v>
      </c>
      <c r="AG790" s="746">
        <v>44217</v>
      </c>
      <c r="AH790" s="46"/>
      <c r="AI790" s="746">
        <v>44348</v>
      </c>
      <c r="AJ790" s="1131" t="s">
        <v>37</v>
      </c>
    </row>
    <row r="791" spans="1:36" ht="141.75" thickBot="1" x14ac:dyDescent="0.3">
      <c r="A791" s="339"/>
      <c r="B791" s="116"/>
      <c r="C791" s="95"/>
      <c r="D791" s="567"/>
      <c r="E791" s="567"/>
      <c r="F791" s="108"/>
      <c r="G791" s="108"/>
      <c r="H791" s="95"/>
      <c r="I791" s="116"/>
      <c r="J791" s="122"/>
      <c r="K791" s="191"/>
      <c r="L791" s="359"/>
      <c r="M791" s="913"/>
      <c r="N791" s="913"/>
      <c r="O791" s="95"/>
      <c r="P791" s="95"/>
      <c r="Q791" s="359"/>
      <c r="R791" s="98"/>
      <c r="S791" s="657" t="s">
        <v>99</v>
      </c>
      <c r="T791" s="335" t="s">
        <v>7204</v>
      </c>
      <c r="U791" s="25">
        <v>5209</v>
      </c>
      <c r="V791" s="25"/>
      <c r="W791" s="25"/>
      <c r="X791" s="25">
        <v>4842</v>
      </c>
      <c r="Y791" s="25"/>
      <c r="Z791" s="25"/>
      <c r="AA791" s="25" t="s">
        <v>16</v>
      </c>
      <c r="AB791" s="25" t="s">
        <v>16</v>
      </c>
      <c r="AC791" s="25">
        <v>2</v>
      </c>
      <c r="AD791" s="52" t="s">
        <v>7539</v>
      </c>
      <c r="AE791" s="52" t="s">
        <v>7175</v>
      </c>
      <c r="AF791" s="52" t="s">
        <v>1380</v>
      </c>
      <c r="AG791" s="745">
        <v>44217</v>
      </c>
      <c r="AH791" s="52"/>
      <c r="AI791" s="745">
        <v>44348</v>
      </c>
      <c r="AJ791" s="1132" t="s">
        <v>37</v>
      </c>
    </row>
    <row r="792" spans="1:36" ht="77.25" x14ac:dyDescent="0.25">
      <c r="A792" s="339"/>
      <c r="B792" s="116"/>
      <c r="C792" s="95"/>
      <c r="D792" s="567"/>
      <c r="E792" s="567"/>
      <c r="F792" s="108"/>
      <c r="G792" s="108"/>
      <c r="H792" s="95"/>
      <c r="I792" s="116"/>
      <c r="J792" s="122"/>
      <c r="K792" s="252" t="s">
        <v>2156</v>
      </c>
      <c r="L792" s="253" t="s">
        <v>7205</v>
      </c>
      <c r="M792" s="911" t="s">
        <v>2156</v>
      </c>
      <c r="N792" s="911" t="s">
        <v>2156</v>
      </c>
      <c r="O792" s="125" t="s">
        <v>7206</v>
      </c>
      <c r="P792" s="125">
        <v>5</v>
      </c>
      <c r="Q792" s="355" t="s">
        <v>7884</v>
      </c>
      <c r="R792" s="134" t="s">
        <v>16</v>
      </c>
      <c r="S792" s="656" t="s">
        <v>47</v>
      </c>
      <c r="T792" s="340" t="s">
        <v>7130</v>
      </c>
      <c r="U792" s="31"/>
      <c r="V792" s="31">
        <v>497</v>
      </c>
      <c r="W792" s="31">
        <v>547</v>
      </c>
      <c r="X792" s="31"/>
      <c r="Y792" s="31">
        <v>0</v>
      </c>
      <c r="Z792" s="31">
        <v>264</v>
      </c>
      <c r="AA792" s="31" t="s">
        <v>10</v>
      </c>
      <c r="AB792" s="31" t="s">
        <v>10</v>
      </c>
      <c r="AC792" s="31">
        <v>1</v>
      </c>
      <c r="AD792" s="40" t="s">
        <v>7207</v>
      </c>
      <c r="AE792" s="40" t="s">
        <v>7175</v>
      </c>
      <c r="AF792" s="40" t="s">
        <v>1380</v>
      </c>
      <c r="AG792" s="744">
        <v>44021</v>
      </c>
      <c r="AH792" s="40"/>
      <c r="AI792" s="744">
        <v>44217</v>
      </c>
      <c r="AJ792" s="1135" t="s">
        <v>37</v>
      </c>
    </row>
    <row r="793" spans="1:36" ht="39" x14ac:dyDescent="0.25">
      <c r="A793" s="339"/>
      <c r="B793" s="116"/>
      <c r="C793" s="95"/>
      <c r="D793" s="567"/>
      <c r="E793" s="567"/>
      <c r="F793" s="108"/>
      <c r="G793" s="108"/>
      <c r="H793" s="95"/>
      <c r="I793" s="116"/>
      <c r="J793" s="122"/>
      <c r="K793" s="257"/>
      <c r="L793" s="462"/>
      <c r="M793" s="913"/>
      <c r="N793" s="913"/>
      <c r="O793" s="95"/>
      <c r="P793" s="95"/>
      <c r="Q793" s="359"/>
      <c r="R793" s="98"/>
      <c r="S793" s="658" t="s">
        <v>91</v>
      </c>
      <c r="T793" s="179" t="s">
        <v>7178</v>
      </c>
      <c r="U793" s="24"/>
      <c r="V793" s="24">
        <v>740</v>
      </c>
      <c r="W793" s="24">
        <v>920</v>
      </c>
      <c r="X793" s="24"/>
      <c r="Y793" s="24">
        <v>800</v>
      </c>
      <c r="Z793" s="24">
        <v>970</v>
      </c>
      <c r="AA793" s="24" t="s">
        <v>16</v>
      </c>
      <c r="AB793" s="24" t="s">
        <v>16</v>
      </c>
      <c r="AC793" s="24">
        <v>2</v>
      </c>
      <c r="AD793" s="46" t="s">
        <v>7208</v>
      </c>
      <c r="AE793" s="46" t="s">
        <v>7175</v>
      </c>
      <c r="AF793" s="46" t="s">
        <v>1380</v>
      </c>
      <c r="AG793" s="746">
        <v>44021</v>
      </c>
      <c r="AH793" s="46"/>
      <c r="AI793" s="746">
        <v>44217</v>
      </c>
      <c r="AJ793" s="1131" t="s">
        <v>37</v>
      </c>
    </row>
    <row r="794" spans="1:36" ht="51.75" x14ac:dyDescent="0.25">
      <c r="A794" s="339"/>
      <c r="B794" s="116"/>
      <c r="C794" s="95"/>
      <c r="D794" s="567"/>
      <c r="E794" s="567"/>
      <c r="F794" s="108"/>
      <c r="G794" s="108"/>
      <c r="H794" s="95"/>
      <c r="I794" s="116"/>
      <c r="J794" s="122"/>
      <c r="K794" s="257"/>
      <c r="L794" s="462"/>
      <c r="M794" s="913"/>
      <c r="N794" s="913"/>
      <c r="O794" s="95"/>
      <c r="P794" s="95"/>
      <c r="Q794" s="359"/>
      <c r="R794" s="98"/>
      <c r="S794" s="658" t="s">
        <v>92</v>
      </c>
      <c r="T794" s="179" t="s">
        <v>7179</v>
      </c>
      <c r="U794" s="24"/>
      <c r="V794" s="24">
        <v>2110</v>
      </c>
      <c r="W794" s="24">
        <v>2340</v>
      </c>
      <c r="X794" s="24"/>
      <c r="Y794" s="24">
        <v>1991</v>
      </c>
      <c r="Z794" s="24">
        <v>2294</v>
      </c>
      <c r="AA794" s="24" t="s">
        <v>16</v>
      </c>
      <c r="AB794" s="24" t="s">
        <v>16</v>
      </c>
      <c r="AC794" s="24">
        <v>2</v>
      </c>
      <c r="AD794" s="46" t="s">
        <v>7209</v>
      </c>
      <c r="AE794" s="46" t="s">
        <v>7175</v>
      </c>
      <c r="AF794" s="46" t="s">
        <v>1380</v>
      </c>
      <c r="AG794" s="746">
        <v>44021</v>
      </c>
      <c r="AH794" s="46"/>
      <c r="AI794" s="746">
        <v>44217</v>
      </c>
      <c r="AJ794" s="1131" t="s">
        <v>37</v>
      </c>
    </row>
    <row r="795" spans="1:36" ht="39" x14ac:dyDescent="0.25">
      <c r="A795" s="339"/>
      <c r="B795" s="116"/>
      <c r="C795" s="95"/>
      <c r="D795" s="567"/>
      <c r="E795" s="567"/>
      <c r="F795" s="108"/>
      <c r="G795" s="108"/>
      <c r="H795" s="95"/>
      <c r="I795" s="116"/>
      <c r="J795" s="122"/>
      <c r="K795" s="257"/>
      <c r="L795" s="462"/>
      <c r="M795" s="913"/>
      <c r="N795" s="913"/>
      <c r="O795" s="95"/>
      <c r="P795" s="95"/>
      <c r="Q795" s="359"/>
      <c r="R795" s="98"/>
      <c r="S795" s="658" t="s">
        <v>99</v>
      </c>
      <c r="T795" s="179" t="s">
        <v>7190</v>
      </c>
      <c r="U795" s="24"/>
      <c r="V795" s="24">
        <v>3460</v>
      </c>
      <c r="W795" s="24">
        <v>3690</v>
      </c>
      <c r="X795" s="24"/>
      <c r="Y795" s="24">
        <v>3070</v>
      </c>
      <c r="Z795" s="24">
        <v>3340</v>
      </c>
      <c r="AA795" s="24" t="s">
        <v>16</v>
      </c>
      <c r="AB795" s="24" t="s">
        <v>16</v>
      </c>
      <c r="AC795" s="24">
        <v>2</v>
      </c>
      <c r="AD795" s="46" t="s">
        <v>7210</v>
      </c>
      <c r="AE795" s="46" t="s">
        <v>7175</v>
      </c>
      <c r="AF795" s="46" t="s">
        <v>1380</v>
      </c>
      <c r="AG795" s="746">
        <v>44021</v>
      </c>
      <c r="AH795" s="46"/>
      <c r="AI795" s="746">
        <v>44217</v>
      </c>
      <c r="AJ795" s="1131" t="s">
        <v>37</v>
      </c>
    </row>
    <row r="796" spans="1:36" ht="52.5" thickBot="1" x14ac:dyDescent="0.3">
      <c r="A796" s="339"/>
      <c r="B796" s="116"/>
      <c r="C796" s="95"/>
      <c r="D796" s="567"/>
      <c r="E796" s="567"/>
      <c r="F796" s="108"/>
      <c r="G796" s="108"/>
      <c r="H796" s="95"/>
      <c r="I796" s="116"/>
      <c r="J796" s="122"/>
      <c r="K796" s="260"/>
      <c r="L796" s="363"/>
      <c r="M796" s="912"/>
      <c r="N796" s="912"/>
      <c r="O796" s="96"/>
      <c r="P796" s="96"/>
      <c r="Q796" s="357"/>
      <c r="R796" s="100"/>
      <c r="S796" s="657" t="s">
        <v>100</v>
      </c>
      <c r="T796" s="335" t="s">
        <v>7211</v>
      </c>
      <c r="U796" s="25">
        <v>5209</v>
      </c>
      <c r="V796" s="25"/>
      <c r="W796" s="25"/>
      <c r="X796" s="25">
        <v>4842</v>
      </c>
      <c r="Y796" s="25"/>
      <c r="Z796" s="25"/>
      <c r="AA796" s="25" t="s">
        <v>16</v>
      </c>
      <c r="AB796" s="25" t="s">
        <v>16</v>
      </c>
      <c r="AC796" s="25">
        <v>2</v>
      </c>
      <c r="AD796" s="52" t="s">
        <v>7212</v>
      </c>
      <c r="AE796" s="52" t="s">
        <v>7175</v>
      </c>
      <c r="AF796" s="52" t="s">
        <v>1380</v>
      </c>
      <c r="AG796" s="745">
        <v>44021</v>
      </c>
      <c r="AH796" s="52"/>
      <c r="AI796" s="745">
        <v>44217</v>
      </c>
      <c r="AJ796" s="1132" t="s">
        <v>37</v>
      </c>
    </row>
    <row r="797" spans="1:36" ht="128.25" x14ac:dyDescent="0.25">
      <c r="A797" s="341" t="s">
        <v>7213</v>
      </c>
      <c r="B797" s="181" t="s">
        <v>6829</v>
      </c>
      <c r="C797" s="125">
        <v>281</v>
      </c>
      <c r="D797" s="585" t="s">
        <v>53</v>
      </c>
      <c r="E797" s="585" t="s">
        <v>52</v>
      </c>
      <c r="F797" s="126"/>
      <c r="G797" s="126"/>
      <c r="H797" s="125"/>
      <c r="I797" s="126"/>
      <c r="J797" s="247"/>
      <c r="K797" s="189">
        <v>1006</v>
      </c>
      <c r="L797" s="355" t="s">
        <v>7214</v>
      </c>
      <c r="M797" s="911">
        <v>1813440.4335</v>
      </c>
      <c r="N797" s="911">
        <v>5464857.2380999997</v>
      </c>
      <c r="O797" s="126" t="s">
        <v>7215</v>
      </c>
      <c r="P797" s="125">
        <v>5</v>
      </c>
      <c r="Q797" s="355" t="s">
        <v>7216</v>
      </c>
      <c r="R797" s="134" t="s">
        <v>85</v>
      </c>
      <c r="S797" s="656" t="s">
        <v>47</v>
      </c>
      <c r="T797" s="340" t="s">
        <v>7217</v>
      </c>
      <c r="U797" s="31"/>
      <c r="V797" s="31"/>
      <c r="W797" s="31"/>
      <c r="X797" s="31"/>
      <c r="Y797" s="31">
        <v>1330</v>
      </c>
      <c r="Z797" s="31">
        <v>1570</v>
      </c>
      <c r="AA797" s="31" t="s">
        <v>85</v>
      </c>
      <c r="AB797" s="31" t="s">
        <v>16</v>
      </c>
      <c r="AC797" s="31">
        <v>3</v>
      </c>
      <c r="AD797" s="40" t="s">
        <v>7225</v>
      </c>
      <c r="AE797" s="40" t="s">
        <v>6954</v>
      </c>
      <c r="AF797" s="40" t="s">
        <v>1380</v>
      </c>
      <c r="AG797" s="744">
        <v>44217</v>
      </c>
      <c r="AH797" s="40"/>
      <c r="AI797" s="744">
        <v>44348</v>
      </c>
      <c r="AJ797" s="1135" t="s">
        <v>37</v>
      </c>
    </row>
    <row r="798" spans="1:36" ht="128.25" x14ac:dyDescent="0.25">
      <c r="A798" s="339"/>
      <c r="B798" s="116"/>
      <c r="C798" s="95"/>
      <c r="D798" s="567"/>
      <c r="E798" s="567"/>
      <c r="F798" s="108"/>
      <c r="G798" s="108"/>
      <c r="H798" s="95"/>
      <c r="I798" s="108"/>
      <c r="J798" s="122"/>
      <c r="K798" s="191"/>
      <c r="L798" s="359"/>
      <c r="M798" s="913"/>
      <c r="N798" s="913"/>
      <c r="O798" s="95"/>
      <c r="P798" s="95"/>
      <c r="Q798" s="359"/>
      <c r="R798" s="98"/>
      <c r="S798" s="658" t="s">
        <v>91</v>
      </c>
      <c r="T798" s="337" t="s">
        <v>7218</v>
      </c>
      <c r="Y798" s="2">
        <v>2560</v>
      </c>
      <c r="Z798" s="2">
        <v>2960</v>
      </c>
      <c r="AA798" s="2" t="s">
        <v>85</v>
      </c>
      <c r="AB798" s="2" t="s">
        <v>16</v>
      </c>
      <c r="AC798" s="2">
        <v>3</v>
      </c>
      <c r="AD798" s="3" t="s">
        <v>7226</v>
      </c>
      <c r="AE798" s="3" t="s">
        <v>6954</v>
      </c>
      <c r="AF798" s="3" t="s">
        <v>1380</v>
      </c>
      <c r="AG798" s="747">
        <v>44217</v>
      </c>
      <c r="AI798" s="747">
        <v>44348</v>
      </c>
      <c r="AJ798" s="1131" t="s">
        <v>37</v>
      </c>
    </row>
    <row r="799" spans="1:36" ht="115.5" x14ac:dyDescent="0.25">
      <c r="A799" s="339"/>
      <c r="B799" s="116"/>
      <c r="C799" s="95"/>
      <c r="D799" s="567"/>
      <c r="E799" s="567"/>
      <c r="F799" s="108"/>
      <c r="G799" s="108"/>
      <c r="H799" s="95"/>
      <c r="I799" s="108"/>
      <c r="J799" s="122"/>
      <c r="K799" s="191"/>
      <c r="L799" s="359"/>
      <c r="M799" s="913"/>
      <c r="N799" s="913"/>
      <c r="O799" s="95"/>
      <c r="P799" s="95"/>
      <c r="Q799" s="359"/>
      <c r="R799" s="98"/>
      <c r="S799" s="658" t="s">
        <v>92</v>
      </c>
      <c r="T799" s="337" t="s">
        <v>7219</v>
      </c>
      <c r="V799" s="2">
        <v>4420</v>
      </c>
      <c r="W799" s="2">
        <v>4870</v>
      </c>
      <c r="AA799" s="2" t="s">
        <v>85</v>
      </c>
      <c r="AB799" s="2" t="s">
        <v>16</v>
      </c>
      <c r="AC799" s="2">
        <v>3</v>
      </c>
      <c r="AD799" s="3" t="s">
        <v>7227</v>
      </c>
      <c r="AE799" s="3" t="s">
        <v>6954</v>
      </c>
      <c r="AF799" s="3" t="s">
        <v>1380</v>
      </c>
      <c r="AG799" s="747">
        <v>44217</v>
      </c>
      <c r="AI799" s="747">
        <v>44348</v>
      </c>
      <c r="AJ799" s="1131" t="s">
        <v>37</v>
      </c>
    </row>
    <row r="800" spans="1:36" ht="129" thickBot="1" x14ac:dyDescent="0.3">
      <c r="A800" s="339"/>
      <c r="B800" s="116"/>
      <c r="C800" s="95"/>
      <c r="D800" s="567"/>
      <c r="E800" s="567"/>
      <c r="F800" s="108"/>
      <c r="G800" s="108"/>
      <c r="H800" s="95"/>
      <c r="I800" s="108"/>
      <c r="J800" s="122"/>
      <c r="K800" s="190"/>
      <c r="L800" s="357"/>
      <c r="M800" s="912"/>
      <c r="N800" s="912"/>
      <c r="O800" s="96"/>
      <c r="P800" s="96"/>
      <c r="Q800" s="357"/>
      <c r="R800" s="100"/>
      <c r="S800" s="657" t="s">
        <v>99</v>
      </c>
      <c r="T800" s="335" t="s">
        <v>7220</v>
      </c>
      <c r="U800" s="25"/>
      <c r="V800" s="25"/>
      <c r="W800" s="25"/>
      <c r="X800" s="25"/>
      <c r="Y800" s="25">
        <v>6040</v>
      </c>
      <c r="Z800" s="25">
        <v>6480</v>
      </c>
      <c r="AA800" s="25" t="s">
        <v>85</v>
      </c>
      <c r="AB800" s="25" t="s">
        <v>16</v>
      </c>
      <c r="AC800" s="25">
        <v>3</v>
      </c>
      <c r="AD800" s="52" t="s">
        <v>7228</v>
      </c>
      <c r="AE800" s="52" t="s">
        <v>6954</v>
      </c>
      <c r="AF800" s="52" t="s">
        <v>1380</v>
      </c>
      <c r="AG800" s="745">
        <v>44217</v>
      </c>
      <c r="AH800" s="52"/>
      <c r="AI800" s="745">
        <v>44348</v>
      </c>
      <c r="AJ800" s="1132" t="s">
        <v>37</v>
      </c>
    </row>
    <row r="801" spans="1:36" ht="39.75" thickBot="1" x14ac:dyDescent="0.3">
      <c r="A801" s="336"/>
      <c r="B801" s="196"/>
      <c r="C801" s="96"/>
      <c r="D801" s="566"/>
      <c r="E801" s="566"/>
      <c r="F801" s="107"/>
      <c r="G801" s="107"/>
      <c r="H801" s="96"/>
      <c r="I801" s="107"/>
      <c r="J801" s="123"/>
      <c r="K801" s="89">
        <v>1010</v>
      </c>
      <c r="L801" s="396" t="s">
        <v>7221</v>
      </c>
      <c r="M801" s="945">
        <v>1813791.0157999999</v>
      </c>
      <c r="N801" s="265">
        <v>5465183.8839999996</v>
      </c>
      <c r="O801" s="84" t="s">
        <v>41</v>
      </c>
      <c r="P801" s="84">
        <v>1</v>
      </c>
      <c r="Q801" s="396" t="s">
        <v>2156</v>
      </c>
      <c r="R801" s="90" t="s">
        <v>2156</v>
      </c>
      <c r="S801" s="683" t="s">
        <v>10162</v>
      </c>
      <c r="T801" s="329" t="s">
        <v>7222</v>
      </c>
      <c r="U801" s="86"/>
      <c r="V801" s="86"/>
      <c r="W801" s="86"/>
      <c r="X801" s="86"/>
      <c r="Y801" s="86"/>
      <c r="Z801" s="86"/>
      <c r="AA801" s="86" t="s">
        <v>85</v>
      </c>
      <c r="AB801" s="86" t="s">
        <v>16</v>
      </c>
      <c r="AC801" s="86">
        <v>3</v>
      </c>
      <c r="AD801" s="92" t="s">
        <v>7229</v>
      </c>
      <c r="AE801" s="92" t="s">
        <v>7540</v>
      </c>
      <c r="AF801" s="92" t="s">
        <v>1380</v>
      </c>
      <c r="AG801" s="743">
        <v>44217</v>
      </c>
      <c r="AH801" s="92"/>
      <c r="AI801" s="743">
        <v>44217</v>
      </c>
      <c r="AJ801" s="1133" t="s">
        <v>37</v>
      </c>
    </row>
    <row r="802" spans="1:36" ht="90" x14ac:dyDescent="0.25">
      <c r="A802" s="487" t="s">
        <v>388</v>
      </c>
      <c r="B802" s="128" t="s">
        <v>388</v>
      </c>
      <c r="C802" s="72">
        <v>560</v>
      </c>
      <c r="D802" s="586" t="s">
        <v>53</v>
      </c>
      <c r="E802" s="586"/>
      <c r="F802" s="129"/>
      <c r="G802" s="231"/>
      <c r="H802" s="72"/>
      <c r="I802" s="129"/>
      <c r="J802" s="381"/>
      <c r="K802" s="187">
        <v>444</v>
      </c>
      <c r="L802" s="73" t="s">
        <v>3093</v>
      </c>
      <c r="M802" s="914">
        <v>1642498.4314999999</v>
      </c>
      <c r="N802" s="914">
        <v>5396491.4027000004</v>
      </c>
      <c r="O802" s="72" t="s">
        <v>41</v>
      </c>
      <c r="P802" s="72">
        <v>3</v>
      </c>
      <c r="Q802" s="73" t="s">
        <v>2156</v>
      </c>
      <c r="R802" s="74" t="s">
        <v>2156</v>
      </c>
      <c r="S802" s="38" t="s">
        <v>47</v>
      </c>
      <c r="T802" s="39" t="s">
        <v>3094</v>
      </c>
      <c r="U802" s="31"/>
      <c r="V802" s="31">
        <v>2348</v>
      </c>
      <c r="W802" s="31">
        <v>2742</v>
      </c>
      <c r="X802" s="31"/>
      <c r="Y802" s="31">
        <v>1811</v>
      </c>
      <c r="Z802" s="31">
        <v>2103</v>
      </c>
      <c r="AA802" s="31" t="s">
        <v>16</v>
      </c>
      <c r="AB802" s="31" t="s">
        <v>10</v>
      </c>
      <c r="AC802" s="31">
        <v>2</v>
      </c>
      <c r="AD802" s="40" t="s">
        <v>3428</v>
      </c>
      <c r="AE802" s="40" t="s">
        <v>3102</v>
      </c>
      <c r="AF802" s="40" t="s">
        <v>37</v>
      </c>
      <c r="AG802" s="744">
        <v>44132</v>
      </c>
      <c r="AH802" s="40"/>
      <c r="AI802" s="31"/>
      <c r="AJ802" s="652"/>
    </row>
    <row r="803" spans="1:36" ht="51.75" x14ac:dyDescent="0.25">
      <c r="A803" s="488"/>
      <c r="B803" s="131"/>
      <c r="C803" s="75"/>
      <c r="D803" s="568"/>
      <c r="E803" s="568"/>
      <c r="F803" s="118"/>
      <c r="G803" s="118"/>
      <c r="H803" s="75"/>
      <c r="I803" s="118"/>
      <c r="J803" s="121"/>
      <c r="K803" s="188"/>
      <c r="L803" s="76"/>
      <c r="M803" s="915"/>
      <c r="N803" s="915"/>
      <c r="O803" s="75"/>
      <c r="P803" s="75"/>
      <c r="Q803" s="76"/>
      <c r="R803" s="77"/>
      <c r="S803" s="42" t="s">
        <v>91</v>
      </c>
      <c r="T803" s="43" t="s">
        <v>3095</v>
      </c>
      <c r="U803" s="24"/>
      <c r="V803" s="24">
        <v>2350</v>
      </c>
      <c r="X803" s="24"/>
      <c r="Y803" s="24"/>
      <c r="Z803" s="24">
        <v>2753</v>
      </c>
      <c r="AA803" s="24" t="s">
        <v>16</v>
      </c>
      <c r="AB803" s="24" t="s">
        <v>10</v>
      </c>
      <c r="AC803" s="24">
        <v>2</v>
      </c>
      <c r="AD803" s="46" t="s">
        <v>3429</v>
      </c>
      <c r="AE803" s="46" t="s">
        <v>3102</v>
      </c>
      <c r="AF803" s="46" t="s">
        <v>37</v>
      </c>
      <c r="AG803" s="746">
        <v>44132</v>
      </c>
      <c r="AH803" s="46"/>
      <c r="AI803" s="24"/>
      <c r="AJ803" s="1107"/>
    </row>
    <row r="804" spans="1:36" ht="52.5" thickBot="1" x14ac:dyDescent="0.3">
      <c r="A804" s="488"/>
      <c r="B804" s="131"/>
      <c r="C804" s="75"/>
      <c r="D804" s="568"/>
      <c r="E804" s="568"/>
      <c r="F804" s="118"/>
      <c r="G804" s="118"/>
      <c r="H804" s="75"/>
      <c r="I804" s="118"/>
      <c r="J804" s="121"/>
      <c r="K804" s="192"/>
      <c r="L804" s="79"/>
      <c r="M804" s="916"/>
      <c r="N804" s="916"/>
      <c r="O804" s="78"/>
      <c r="P804" s="78"/>
      <c r="Q804" s="79"/>
      <c r="R804" s="80"/>
      <c r="S804" s="48" t="s">
        <v>92</v>
      </c>
      <c r="T804" s="49" t="s">
        <v>3096</v>
      </c>
      <c r="U804" s="25"/>
      <c r="V804" s="25">
        <v>3063</v>
      </c>
      <c r="W804" s="25">
        <v>3395</v>
      </c>
      <c r="X804" s="25"/>
      <c r="Y804" s="25"/>
      <c r="Z804" s="25"/>
      <c r="AA804" s="25" t="s">
        <v>85</v>
      </c>
      <c r="AB804" s="25" t="s">
        <v>10</v>
      </c>
      <c r="AC804" s="25">
        <v>3</v>
      </c>
      <c r="AD804" s="52" t="s">
        <v>3430</v>
      </c>
      <c r="AE804" s="52" t="s">
        <v>3102</v>
      </c>
      <c r="AF804" s="52" t="s">
        <v>37</v>
      </c>
      <c r="AG804" s="745">
        <v>44132</v>
      </c>
      <c r="AH804" s="52"/>
      <c r="AI804" s="25"/>
      <c r="AJ804" s="653"/>
    </row>
    <row r="805" spans="1:36" ht="77.25" x14ac:dyDescent="0.25">
      <c r="A805" s="488"/>
      <c r="B805" s="131"/>
      <c r="C805" s="75"/>
      <c r="D805" s="568"/>
      <c r="E805" s="568"/>
      <c r="F805" s="118"/>
      <c r="G805" s="118"/>
      <c r="H805" s="75"/>
      <c r="I805" s="118"/>
      <c r="J805" s="121"/>
      <c r="K805" s="187">
        <v>445</v>
      </c>
      <c r="L805" s="73" t="s">
        <v>3097</v>
      </c>
      <c r="M805" s="914">
        <v>1645303.3006</v>
      </c>
      <c r="N805" s="914">
        <v>5397708.4971000003</v>
      </c>
      <c r="O805" s="72" t="s">
        <v>41</v>
      </c>
      <c r="P805" s="732">
        <v>3</v>
      </c>
      <c r="Q805" s="73" t="s">
        <v>2156</v>
      </c>
      <c r="R805" s="74" t="s">
        <v>2156</v>
      </c>
      <c r="S805" s="38" t="s">
        <v>47</v>
      </c>
      <c r="T805" s="39" t="s">
        <v>3100</v>
      </c>
      <c r="U805" s="31"/>
      <c r="V805" s="31">
        <v>3889</v>
      </c>
      <c r="W805" s="31">
        <v>4236</v>
      </c>
      <c r="X805" s="31"/>
      <c r="Y805" s="31">
        <v>2618</v>
      </c>
      <c r="Z805" s="31">
        <v>2887</v>
      </c>
      <c r="AA805" s="31" t="s">
        <v>16</v>
      </c>
      <c r="AB805" s="31" t="s">
        <v>16</v>
      </c>
      <c r="AC805" s="31">
        <v>2</v>
      </c>
      <c r="AD805" s="40" t="s">
        <v>3425</v>
      </c>
      <c r="AE805" s="40" t="s">
        <v>3102</v>
      </c>
      <c r="AF805" s="40" t="s">
        <v>37</v>
      </c>
      <c r="AG805" s="744">
        <v>44132</v>
      </c>
      <c r="AH805" s="40"/>
      <c r="AI805" s="31"/>
      <c r="AJ805" s="652"/>
    </row>
    <row r="806" spans="1:36" ht="64.5" x14ac:dyDescent="0.25">
      <c r="A806" s="488"/>
      <c r="B806" s="131"/>
      <c r="C806" s="75"/>
      <c r="D806" s="568"/>
      <c r="E806" s="568"/>
      <c r="F806" s="118"/>
      <c r="G806" s="118"/>
      <c r="H806" s="75"/>
      <c r="I806" s="118"/>
      <c r="J806" s="121"/>
      <c r="K806" s="188"/>
      <c r="L806" s="76"/>
      <c r="M806" s="915"/>
      <c r="N806" s="915"/>
      <c r="O806" s="75"/>
      <c r="P806" s="75"/>
      <c r="Q806" s="76"/>
      <c r="R806" s="77"/>
      <c r="S806" s="42" t="s">
        <v>91</v>
      </c>
      <c r="T806" s="43" t="s">
        <v>3098</v>
      </c>
      <c r="U806" s="24"/>
      <c r="V806" s="24">
        <v>4445</v>
      </c>
      <c r="W806" s="24">
        <v>4841</v>
      </c>
      <c r="X806" s="24"/>
      <c r="Y806" s="24">
        <v>3889</v>
      </c>
      <c r="Z806" s="24">
        <v>4236</v>
      </c>
      <c r="AA806" s="24" t="s">
        <v>16</v>
      </c>
      <c r="AB806" s="24" t="s">
        <v>10</v>
      </c>
      <c r="AC806" s="24">
        <v>2</v>
      </c>
      <c r="AD806" s="46" t="s">
        <v>3426</v>
      </c>
      <c r="AE806" s="46" t="s">
        <v>3102</v>
      </c>
      <c r="AF806" s="46" t="s">
        <v>37</v>
      </c>
      <c r="AG806" s="746">
        <v>44132</v>
      </c>
      <c r="AH806" s="46"/>
      <c r="AI806" s="24"/>
      <c r="AJ806" s="1107"/>
    </row>
    <row r="807" spans="1:36" ht="65.25" thickBot="1" x14ac:dyDescent="0.3">
      <c r="A807" s="488"/>
      <c r="B807" s="131"/>
      <c r="C807" s="75"/>
      <c r="D807" s="568"/>
      <c r="E807" s="568"/>
      <c r="F807" s="118"/>
      <c r="G807" s="118"/>
      <c r="H807" s="75"/>
      <c r="I807" s="118"/>
      <c r="J807" s="121"/>
      <c r="K807" s="192"/>
      <c r="L807" s="79"/>
      <c r="M807" s="916"/>
      <c r="N807" s="916"/>
      <c r="O807" s="78"/>
      <c r="P807" s="78"/>
      <c r="Q807" s="79"/>
      <c r="R807" s="80"/>
      <c r="S807" s="48" t="s">
        <v>92</v>
      </c>
      <c r="T807" s="49" t="s">
        <v>3099</v>
      </c>
      <c r="U807" s="25"/>
      <c r="V807" s="25">
        <v>5321</v>
      </c>
      <c r="W807" s="25">
        <v>5611</v>
      </c>
      <c r="X807" s="25"/>
      <c r="Y807" s="25">
        <v>4445</v>
      </c>
      <c r="Z807" s="25">
        <v>4841</v>
      </c>
      <c r="AA807" s="25" t="s">
        <v>16</v>
      </c>
      <c r="AB807" s="25" t="s">
        <v>3101</v>
      </c>
      <c r="AC807" s="25">
        <v>3</v>
      </c>
      <c r="AD807" s="52" t="s">
        <v>3427</v>
      </c>
      <c r="AE807" s="52" t="s">
        <v>3102</v>
      </c>
      <c r="AF807" s="52" t="s">
        <v>37</v>
      </c>
      <c r="AG807" s="745">
        <v>44132</v>
      </c>
      <c r="AH807" s="52"/>
      <c r="AI807" s="25"/>
      <c r="AJ807" s="653"/>
    </row>
    <row r="808" spans="1:36" ht="27" thickBot="1" x14ac:dyDescent="0.3">
      <c r="A808" s="488"/>
      <c r="B808" s="131"/>
      <c r="C808" s="75"/>
      <c r="D808" s="568"/>
      <c r="E808" s="568"/>
      <c r="F808" s="118"/>
      <c r="G808" s="118"/>
      <c r="H808" s="75"/>
      <c r="I808" s="118"/>
      <c r="J808" s="121"/>
      <c r="K808" s="192" t="s">
        <v>2156</v>
      </c>
      <c r="L808" s="79" t="s">
        <v>7938</v>
      </c>
      <c r="M808" s="916" t="s">
        <v>2156</v>
      </c>
      <c r="N808" s="916" t="s">
        <v>2156</v>
      </c>
      <c r="O808" s="72" t="s">
        <v>3103</v>
      </c>
      <c r="P808" s="732">
        <v>4</v>
      </c>
      <c r="Q808" s="73" t="s">
        <v>7939</v>
      </c>
      <c r="R808" s="80" t="s">
        <v>16</v>
      </c>
      <c r="S808" s="48" t="s">
        <v>2156</v>
      </c>
      <c r="T808" s="49"/>
      <c r="U808" s="25"/>
      <c r="V808" s="25"/>
      <c r="W808" s="25"/>
      <c r="X808" s="25"/>
      <c r="Y808" s="25"/>
      <c r="Z808" s="25"/>
      <c r="AA808" s="25"/>
      <c r="AB808" s="25"/>
      <c r="AC808" s="25"/>
      <c r="AD808" s="52"/>
      <c r="AE808" s="40" t="s">
        <v>3102</v>
      </c>
      <c r="AF808" s="40" t="s">
        <v>37</v>
      </c>
      <c r="AG808" s="744">
        <v>44363</v>
      </c>
      <c r="AH808" s="52"/>
      <c r="AI808" s="25"/>
      <c r="AJ808" s="653"/>
    </row>
    <row r="809" spans="1:36" ht="39.75" thickBot="1" x14ac:dyDescent="0.3">
      <c r="A809" s="488"/>
      <c r="B809" s="131"/>
      <c r="C809" s="75"/>
      <c r="D809" s="568"/>
      <c r="E809" s="568"/>
      <c r="F809" s="118"/>
      <c r="G809" s="118"/>
      <c r="H809" s="75"/>
      <c r="I809" s="118"/>
      <c r="J809" s="121"/>
      <c r="K809" s="87">
        <v>507</v>
      </c>
      <c r="L809" s="360" t="s">
        <v>3333</v>
      </c>
      <c r="M809" s="198">
        <v>1593601.841</v>
      </c>
      <c r="N809" s="198">
        <v>5374898.7210999997</v>
      </c>
      <c r="O809" s="83" t="s">
        <v>41</v>
      </c>
      <c r="P809" s="83">
        <v>1</v>
      </c>
      <c r="Q809" s="360" t="s">
        <v>2156</v>
      </c>
      <c r="R809" s="88" t="s">
        <v>2156</v>
      </c>
      <c r="S809" s="428" t="s">
        <v>47</v>
      </c>
      <c r="T809" s="243" t="s">
        <v>3334</v>
      </c>
      <c r="U809" s="86">
        <f>1950-200</f>
        <v>1750</v>
      </c>
      <c r="V809" s="86"/>
      <c r="W809" s="86"/>
      <c r="X809" s="86">
        <f>1950-1840</f>
        <v>110</v>
      </c>
      <c r="Y809" s="86"/>
      <c r="Z809" s="86"/>
      <c r="AA809" s="86" t="s">
        <v>16</v>
      </c>
      <c r="AB809" s="86" t="s">
        <v>16</v>
      </c>
      <c r="AC809" s="86">
        <v>2</v>
      </c>
      <c r="AD809" s="92" t="s">
        <v>3391</v>
      </c>
      <c r="AE809" s="92" t="s">
        <v>557</v>
      </c>
      <c r="AF809" s="92" t="s">
        <v>37</v>
      </c>
      <c r="AG809" s="743">
        <v>44140</v>
      </c>
      <c r="AH809" s="92"/>
      <c r="AI809" s="86"/>
      <c r="AJ809" s="1108"/>
    </row>
    <row r="810" spans="1:36" ht="27" thickBot="1" x14ac:dyDescent="0.3">
      <c r="A810" s="488"/>
      <c r="B810" s="131"/>
      <c r="C810" s="75"/>
      <c r="D810" s="568"/>
      <c r="E810" s="568"/>
      <c r="F810" s="118"/>
      <c r="G810" s="118"/>
      <c r="H810" s="75"/>
      <c r="I810" s="118"/>
      <c r="J810" s="121"/>
      <c r="K810" s="87">
        <v>515</v>
      </c>
      <c r="L810" s="360" t="s">
        <v>3363</v>
      </c>
      <c r="M810" s="198">
        <v>1599089.8832</v>
      </c>
      <c r="N810" s="198">
        <v>5377554.5780999996</v>
      </c>
      <c r="O810" s="83" t="s">
        <v>41</v>
      </c>
      <c r="P810" s="83">
        <v>1</v>
      </c>
      <c r="Q810" s="360" t="s">
        <v>2156</v>
      </c>
      <c r="R810" s="88" t="s">
        <v>2156</v>
      </c>
      <c r="S810" s="428" t="s">
        <v>91</v>
      </c>
      <c r="T810" s="243" t="s">
        <v>3366</v>
      </c>
      <c r="U810" s="86"/>
      <c r="V810" s="86">
        <v>2720</v>
      </c>
      <c r="W810" s="86">
        <v>1990</v>
      </c>
      <c r="X810" s="86"/>
      <c r="Y810" s="86"/>
      <c r="Z810" s="86"/>
      <c r="AA810" s="86" t="s">
        <v>10</v>
      </c>
      <c r="AB810" s="86" t="s">
        <v>10</v>
      </c>
      <c r="AC810" s="86">
        <v>1</v>
      </c>
      <c r="AD810" s="92" t="s">
        <v>3369</v>
      </c>
      <c r="AE810" s="92" t="s">
        <v>3365</v>
      </c>
      <c r="AF810" s="92" t="s">
        <v>37</v>
      </c>
      <c r="AG810" s="743">
        <v>44144</v>
      </c>
      <c r="AH810" s="92"/>
      <c r="AI810" s="86"/>
      <c r="AJ810" s="1108"/>
    </row>
    <row r="811" spans="1:36" ht="39" x14ac:dyDescent="0.25">
      <c r="A811" s="488"/>
      <c r="B811" s="131"/>
      <c r="C811" s="75"/>
      <c r="D811" s="568"/>
      <c r="E811" s="568"/>
      <c r="F811" s="118"/>
      <c r="G811" s="118"/>
      <c r="H811" s="75"/>
      <c r="I811" s="118"/>
      <c r="J811" s="121"/>
      <c r="K811" s="188">
        <v>516</v>
      </c>
      <c r="L811" s="76" t="s">
        <v>3364</v>
      </c>
      <c r="M811" s="915">
        <v>1599101.4635999999</v>
      </c>
      <c r="N811" s="915">
        <v>5377517.7313999999</v>
      </c>
      <c r="O811" s="75" t="s">
        <v>41</v>
      </c>
      <c r="P811" s="75">
        <v>2</v>
      </c>
      <c r="Q811" s="76" t="s">
        <v>2156</v>
      </c>
      <c r="R811" s="77" t="s">
        <v>2156</v>
      </c>
      <c r="S811" s="42" t="s">
        <v>47</v>
      </c>
      <c r="T811" s="43" t="s">
        <v>3368</v>
      </c>
      <c r="U811" s="24"/>
      <c r="V811" s="24">
        <v>1750</v>
      </c>
      <c r="W811" s="24">
        <v>970</v>
      </c>
      <c r="X811" s="24"/>
      <c r="Y811" s="24"/>
      <c r="Z811" s="24"/>
      <c r="AA811" s="24" t="s">
        <v>10</v>
      </c>
      <c r="AB811" s="24" t="s">
        <v>10</v>
      </c>
      <c r="AC811" s="24">
        <v>1</v>
      </c>
      <c r="AD811" s="46" t="s">
        <v>3370</v>
      </c>
      <c r="AE811" s="46" t="s">
        <v>3365</v>
      </c>
      <c r="AF811" s="46" t="s">
        <v>37</v>
      </c>
      <c r="AG811" s="746">
        <v>44144</v>
      </c>
      <c r="AH811" s="46"/>
      <c r="AI811" s="24"/>
      <c r="AJ811" s="1107"/>
    </row>
    <row r="812" spans="1:36" ht="27" thickBot="1" x14ac:dyDescent="0.3">
      <c r="A812" s="488"/>
      <c r="B812" s="131"/>
      <c r="C812" s="75"/>
      <c r="D812" s="568"/>
      <c r="E812" s="568"/>
      <c r="F812" s="118"/>
      <c r="G812" s="118"/>
      <c r="H812" s="75"/>
      <c r="I812" s="118"/>
      <c r="J812" s="121"/>
      <c r="K812" s="192"/>
      <c r="L812" s="79"/>
      <c r="M812" s="916"/>
      <c r="N812" s="916"/>
      <c r="O812" s="78"/>
      <c r="P812" s="78"/>
      <c r="Q812" s="79"/>
      <c r="R812" s="80"/>
      <c r="S812" s="48" t="s">
        <v>91</v>
      </c>
      <c r="T812" s="49" t="s">
        <v>3367</v>
      </c>
      <c r="U812" s="25"/>
      <c r="V812" s="25">
        <v>2112</v>
      </c>
      <c r="W812" s="25">
        <v>1951</v>
      </c>
      <c r="X812" s="25"/>
      <c r="Y812" s="25"/>
      <c r="Z812" s="25"/>
      <c r="AA812" s="25" t="s">
        <v>10</v>
      </c>
      <c r="AB812" s="25" t="s">
        <v>10</v>
      </c>
      <c r="AC812" s="25">
        <v>1</v>
      </c>
      <c r="AD812" s="52" t="s">
        <v>3369</v>
      </c>
      <c r="AE812" s="52" t="s">
        <v>3365</v>
      </c>
      <c r="AF812" s="52" t="s">
        <v>37</v>
      </c>
      <c r="AG812" s="745">
        <v>44144</v>
      </c>
      <c r="AH812" s="52"/>
      <c r="AI812" s="25"/>
      <c r="AJ812" s="653"/>
    </row>
    <row r="813" spans="1:36" ht="90" x14ac:dyDescent="0.25">
      <c r="A813" s="488"/>
      <c r="B813" s="131"/>
      <c r="C813" s="75"/>
      <c r="D813" s="568"/>
      <c r="E813" s="568"/>
      <c r="F813" s="118"/>
      <c r="G813" s="118"/>
      <c r="H813" s="75"/>
      <c r="I813" s="118"/>
      <c r="J813" s="121"/>
      <c r="K813" s="187">
        <v>524</v>
      </c>
      <c r="L813" s="73" t="s">
        <v>3392</v>
      </c>
      <c r="M813" s="914">
        <v>1667145.5828</v>
      </c>
      <c r="N813" s="914">
        <v>5403544.0259999996</v>
      </c>
      <c r="O813" s="72" t="s">
        <v>41</v>
      </c>
      <c r="P813" s="72">
        <v>2</v>
      </c>
      <c r="Q813" s="73" t="s">
        <v>2156</v>
      </c>
      <c r="R813" s="74" t="s">
        <v>2156</v>
      </c>
      <c r="S813" s="38" t="s">
        <v>47</v>
      </c>
      <c r="T813" s="39" t="s">
        <v>3393</v>
      </c>
      <c r="U813" s="31"/>
      <c r="V813" s="31">
        <f>1950-1670</f>
        <v>280</v>
      </c>
      <c r="W813" s="31">
        <f>1950-1510</f>
        <v>440</v>
      </c>
      <c r="X813" s="31"/>
      <c r="Y813" s="31"/>
      <c r="Z813" s="31"/>
      <c r="AA813" s="31" t="s">
        <v>16</v>
      </c>
      <c r="AB813" s="31" t="s">
        <v>85</v>
      </c>
      <c r="AC813" s="31">
        <v>3</v>
      </c>
      <c r="AD813" s="40" t="s">
        <v>3424</v>
      </c>
      <c r="AE813" s="40" t="s">
        <v>3395</v>
      </c>
      <c r="AF813" s="40" t="s">
        <v>37</v>
      </c>
      <c r="AG813" s="744">
        <v>44146</v>
      </c>
      <c r="AH813" s="40"/>
      <c r="AI813" s="31"/>
      <c r="AJ813" s="652"/>
    </row>
    <row r="814" spans="1:36" ht="78" thickBot="1" x14ac:dyDescent="0.3">
      <c r="A814" s="488"/>
      <c r="B814" s="131"/>
      <c r="C814" s="75"/>
      <c r="D814" s="568"/>
      <c r="E814" s="568"/>
      <c r="F814" s="118"/>
      <c r="G814" s="118"/>
      <c r="H814" s="75"/>
      <c r="I814" s="118"/>
      <c r="J814" s="121"/>
      <c r="K814" s="192"/>
      <c r="L814" s="79"/>
      <c r="M814" s="916"/>
      <c r="N814" s="916"/>
      <c r="O814" s="78"/>
      <c r="P814" s="78"/>
      <c r="Q814" s="79"/>
      <c r="R814" s="80"/>
      <c r="S814" s="48" t="s">
        <v>91</v>
      </c>
      <c r="T814" s="49" t="s">
        <v>3394</v>
      </c>
      <c r="U814" s="25"/>
      <c r="V814" s="25">
        <f>1950-1020</f>
        <v>930</v>
      </c>
      <c r="W814" s="25">
        <f>1950-1190</f>
        <v>760</v>
      </c>
      <c r="X814" s="25"/>
      <c r="Y814" s="25"/>
      <c r="Z814" s="25"/>
      <c r="AA814" s="25" t="s">
        <v>16</v>
      </c>
      <c r="AB814" s="25" t="s">
        <v>85</v>
      </c>
      <c r="AC814" s="25">
        <v>3</v>
      </c>
      <c r="AD814" s="52" t="s">
        <v>3423</v>
      </c>
      <c r="AE814" s="52" t="s">
        <v>3395</v>
      </c>
      <c r="AF814" s="52" t="s">
        <v>37</v>
      </c>
      <c r="AG814" s="745">
        <v>44146</v>
      </c>
      <c r="AH814" s="52"/>
      <c r="AI814" s="25"/>
      <c r="AJ814" s="653"/>
    </row>
    <row r="815" spans="1:36" ht="39.75" thickBot="1" x14ac:dyDescent="0.3">
      <c r="A815" s="488"/>
      <c r="B815" s="131"/>
      <c r="C815" s="75"/>
      <c r="D815" s="568"/>
      <c r="E815" s="568"/>
      <c r="F815" s="118"/>
      <c r="G815" s="118"/>
      <c r="H815" s="75"/>
      <c r="I815" s="118"/>
      <c r="J815" s="121"/>
      <c r="K815" s="87">
        <v>525</v>
      </c>
      <c r="L815" s="360" t="s">
        <v>3396</v>
      </c>
      <c r="M815" s="198">
        <v>1685185.1044000001</v>
      </c>
      <c r="N815" s="198">
        <v>5411348.5229000002</v>
      </c>
      <c r="O815" s="83" t="s">
        <v>41</v>
      </c>
      <c r="P815" s="83">
        <v>1</v>
      </c>
      <c r="Q815" s="360" t="s">
        <v>2156</v>
      </c>
      <c r="R815" s="88" t="s">
        <v>2156</v>
      </c>
      <c r="S815" s="38" t="s">
        <v>47</v>
      </c>
      <c r="T815" s="39" t="s">
        <v>3397</v>
      </c>
      <c r="U815" s="31"/>
      <c r="V815" s="31">
        <f>1950-900</f>
        <v>1050</v>
      </c>
      <c r="W815" s="31">
        <f>1950-1160</f>
        <v>790</v>
      </c>
      <c r="X815" s="31"/>
      <c r="Y815" s="31"/>
      <c r="Z815" s="31"/>
      <c r="AA815" s="31" t="s">
        <v>16</v>
      </c>
      <c r="AB815" s="31" t="s">
        <v>16</v>
      </c>
      <c r="AC815" s="31">
        <v>2</v>
      </c>
      <c r="AD815" s="40" t="s">
        <v>3398</v>
      </c>
      <c r="AE815" s="40" t="s">
        <v>3399</v>
      </c>
      <c r="AF815" s="40" t="s">
        <v>37</v>
      </c>
      <c r="AG815" s="744">
        <v>44146</v>
      </c>
      <c r="AH815" s="40"/>
      <c r="AI815" s="31"/>
      <c r="AJ815" s="652"/>
    </row>
    <row r="816" spans="1:36" ht="77.25" x14ac:dyDescent="0.25">
      <c r="A816" s="488"/>
      <c r="B816" s="131"/>
      <c r="C816" s="75"/>
      <c r="D816" s="568"/>
      <c r="E816" s="568"/>
      <c r="F816" s="118"/>
      <c r="G816" s="118"/>
      <c r="H816" s="75"/>
      <c r="I816" s="118"/>
      <c r="J816" s="121"/>
      <c r="K816" s="187">
        <v>526</v>
      </c>
      <c r="L816" s="73" t="s">
        <v>3418</v>
      </c>
      <c r="M816" s="914">
        <v>1684489.8884999999</v>
      </c>
      <c r="N816" s="914">
        <v>5411017.6459999997</v>
      </c>
      <c r="O816" s="72" t="s">
        <v>41</v>
      </c>
      <c r="P816" s="72">
        <v>1</v>
      </c>
      <c r="Q816" s="73" t="s">
        <v>2156</v>
      </c>
      <c r="R816" s="74" t="s">
        <v>2156</v>
      </c>
      <c r="S816" s="38" t="s">
        <v>47</v>
      </c>
      <c r="T816" s="39" t="s">
        <v>3412</v>
      </c>
      <c r="U816" s="31">
        <v>2060</v>
      </c>
      <c r="V816" s="31"/>
      <c r="W816" s="31"/>
      <c r="X816" s="31">
        <v>1800</v>
      </c>
      <c r="Y816" s="31"/>
      <c r="Z816" s="31"/>
      <c r="AA816" s="31" t="s">
        <v>16</v>
      </c>
      <c r="AB816" s="31" t="s">
        <v>16</v>
      </c>
      <c r="AC816" s="31">
        <v>2</v>
      </c>
      <c r="AD816" s="40" t="s">
        <v>3416</v>
      </c>
      <c r="AE816" s="40" t="s">
        <v>3365</v>
      </c>
      <c r="AF816" s="40" t="s">
        <v>37</v>
      </c>
      <c r="AG816" s="744">
        <v>44146</v>
      </c>
      <c r="AH816" s="40"/>
      <c r="AI816" s="31"/>
      <c r="AJ816" s="652"/>
    </row>
    <row r="817" spans="1:36" ht="90" x14ac:dyDescent="0.25">
      <c r="A817" s="488"/>
      <c r="B817" s="131"/>
      <c r="C817" s="75"/>
      <c r="D817" s="568"/>
      <c r="E817" s="568"/>
      <c r="F817" s="118"/>
      <c r="G817" s="118"/>
      <c r="H817" s="75"/>
      <c r="I817" s="118"/>
      <c r="J817" s="121"/>
      <c r="K817" s="188">
        <v>527</v>
      </c>
      <c r="L817" s="76" t="s">
        <v>3419</v>
      </c>
      <c r="M817" s="915">
        <v>1683844.1546</v>
      </c>
      <c r="N817" s="915">
        <v>5410664.3861999996</v>
      </c>
      <c r="O817" s="75" t="s">
        <v>41</v>
      </c>
      <c r="P817" s="75">
        <v>1</v>
      </c>
      <c r="Q817" s="76" t="s">
        <v>2156</v>
      </c>
      <c r="R817" s="77" t="s">
        <v>2156</v>
      </c>
      <c r="S817" s="42" t="s">
        <v>91</v>
      </c>
      <c r="T817" s="43" t="s">
        <v>3414</v>
      </c>
      <c r="U817" s="24">
        <f>3050+350</f>
        <v>3400</v>
      </c>
      <c r="V817" s="24"/>
      <c r="W817" s="24"/>
      <c r="X817" s="24">
        <f>3050-350</f>
        <v>2700</v>
      </c>
      <c r="Y817" s="24"/>
      <c r="Z817" s="24"/>
      <c r="AA817" s="24" t="s">
        <v>85</v>
      </c>
      <c r="AB817" s="24" t="s">
        <v>85</v>
      </c>
      <c r="AC817" s="24">
        <v>3</v>
      </c>
      <c r="AD817" s="46" t="s">
        <v>3417</v>
      </c>
      <c r="AE817" s="46" t="s">
        <v>3365</v>
      </c>
      <c r="AF817" s="46" t="s">
        <v>37</v>
      </c>
      <c r="AG817" s="746">
        <v>44146</v>
      </c>
      <c r="AH817" s="46"/>
      <c r="AI817" s="24"/>
      <c r="AJ817" s="1107"/>
    </row>
    <row r="818" spans="1:36" ht="90" x14ac:dyDescent="0.25">
      <c r="A818" s="488"/>
      <c r="B818" s="131"/>
      <c r="C818" s="75"/>
      <c r="D818" s="568"/>
      <c r="E818" s="568"/>
      <c r="F818" s="118"/>
      <c r="G818" s="118"/>
      <c r="H818" s="75"/>
      <c r="I818" s="118"/>
      <c r="J818" s="121"/>
      <c r="K818" s="188">
        <v>528</v>
      </c>
      <c r="L818" s="76" t="s">
        <v>3420</v>
      </c>
      <c r="M818" s="915">
        <v>1682999.3824</v>
      </c>
      <c r="N818" s="915">
        <v>5410228.3793000001</v>
      </c>
      <c r="O818" s="75" t="s">
        <v>41</v>
      </c>
      <c r="P818" s="75">
        <v>1</v>
      </c>
      <c r="Q818" s="76" t="s">
        <v>2156</v>
      </c>
      <c r="R818" s="77" t="s">
        <v>2156</v>
      </c>
      <c r="S818" s="42" t="s">
        <v>92</v>
      </c>
      <c r="T818" s="43" t="s">
        <v>3415</v>
      </c>
      <c r="U818" s="24">
        <f>4050+350</f>
        <v>4400</v>
      </c>
      <c r="V818" s="24"/>
      <c r="W818" s="24"/>
      <c r="X818" s="24">
        <f>4050-350</f>
        <v>3700</v>
      </c>
      <c r="Y818" s="24"/>
      <c r="Z818" s="24"/>
      <c r="AA818" s="24" t="s">
        <v>85</v>
      </c>
      <c r="AB818" s="24" t="s">
        <v>85</v>
      </c>
      <c r="AC818" s="24">
        <v>3</v>
      </c>
      <c r="AD818" s="46" t="s">
        <v>3417</v>
      </c>
      <c r="AE818" s="46" t="s">
        <v>3365</v>
      </c>
      <c r="AF818" s="46" t="s">
        <v>37</v>
      </c>
      <c r="AG818" s="746">
        <v>44146</v>
      </c>
      <c r="AH818" s="46"/>
      <c r="AI818" s="24"/>
      <c r="AJ818" s="1107"/>
    </row>
    <row r="819" spans="1:36" ht="90.75" thickBot="1" x14ac:dyDescent="0.3">
      <c r="A819" s="488"/>
      <c r="B819" s="131"/>
      <c r="C819" s="75"/>
      <c r="D819" s="568"/>
      <c r="E819" s="568"/>
      <c r="F819" s="118"/>
      <c r="G819" s="118"/>
      <c r="H819" s="75"/>
      <c r="I819" s="118"/>
      <c r="J819" s="121"/>
      <c r="K819" s="192">
        <v>529</v>
      </c>
      <c r="L819" s="79" t="s">
        <v>3421</v>
      </c>
      <c r="M819" s="916">
        <v>1680242.1906999999</v>
      </c>
      <c r="N819" s="916">
        <v>5408743.2869999995</v>
      </c>
      <c r="O819" s="78" t="s">
        <v>41</v>
      </c>
      <c r="P819" s="78">
        <v>1</v>
      </c>
      <c r="Q819" s="79" t="s">
        <v>2156</v>
      </c>
      <c r="R819" s="80" t="s">
        <v>2156</v>
      </c>
      <c r="S819" s="48" t="s">
        <v>99</v>
      </c>
      <c r="T819" s="49" t="s">
        <v>3413</v>
      </c>
      <c r="U819" s="25">
        <v>7600</v>
      </c>
      <c r="V819" s="25"/>
      <c r="W819" s="25"/>
      <c r="X819" s="25">
        <v>4000</v>
      </c>
      <c r="Y819" s="25"/>
      <c r="Z819" s="25"/>
      <c r="AA819" s="25" t="s">
        <v>85</v>
      </c>
      <c r="AB819" s="25" t="s">
        <v>85</v>
      </c>
      <c r="AC819" s="25">
        <v>3</v>
      </c>
      <c r="AD819" s="52" t="s">
        <v>3417</v>
      </c>
      <c r="AE819" s="52" t="s">
        <v>3365</v>
      </c>
      <c r="AF819" s="52" t="s">
        <v>37</v>
      </c>
      <c r="AG819" s="745">
        <v>44146</v>
      </c>
      <c r="AH819" s="52"/>
      <c r="AI819" s="25"/>
      <c r="AJ819" s="653"/>
    </row>
    <row r="820" spans="1:36" ht="90.75" thickBot="1" x14ac:dyDescent="0.3">
      <c r="A820" s="489"/>
      <c r="B820" s="133"/>
      <c r="C820" s="78"/>
      <c r="D820" s="569"/>
      <c r="E820" s="569"/>
      <c r="F820" s="119"/>
      <c r="G820" s="119"/>
      <c r="H820" s="78"/>
      <c r="I820" s="119"/>
      <c r="J820" s="429"/>
      <c r="K820" s="87" t="s">
        <v>2156</v>
      </c>
      <c r="L820" s="360" t="s">
        <v>3400</v>
      </c>
      <c r="M820" s="198" t="s">
        <v>2156</v>
      </c>
      <c r="N820" s="198" t="s">
        <v>2156</v>
      </c>
      <c r="O820" s="83" t="s">
        <v>3406</v>
      </c>
      <c r="P820" s="83">
        <v>5</v>
      </c>
      <c r="Q820" s="360" t="s">
        <v>7940</v>
      </c>
      <c r="R820" s="88" t="s">
        <v>16</v>
      </c>
      <c r="S820" s="801" t="s">
        <v>2156</v>
      </c>
      <c r="T820" s="243" t="s">
        <v>2156</v>
      </c>
      <c r="U820" s="86" t="s">
        <v>2156</v>
      </c>
      <c r="V820" s="86" t="s">
        <v>2156</v>
      </c>
      <c r="W820" s="86" t="s">
        <v>2156</v>
      </c>
      <c r="X820" s="86" t="s">
        <v>2156</v>
      </c>
      <c r="Y820" s="86" t="s">
        <v>2156</v>
      </c>
      <c r="Z820" s="86" t="s">
        <v>2156</v>
      </c>
      <c r="AA820" s="86" t="s">
        <v>2156</v>
      </c>
      <c r="AB820" s="86" t="s">
        <v>2156</v>
      </c>
      <c r="AC820" s="86" t="s">
        <v>2156</v>
      </c>
      <c r="AD820" s="92" t="s">
        <v>2156</v>
      </c>
      <c r="AE820" s="92" t="s">
        <v>3365</v>
      </c>
      <c r="AF820" s="92" t="s">
        <v>37</v>
      </c>
      <c r="AG820" s="743">
        <v>44146</v>
      </c>
      <c r="AH820" s="92"/>
      <c r="AI820" s="86"/>
      <c r="AJ820" s="1108"/>
    </row>
    <row r="821" spans="1:36" ht="90" x14ac:dyDescent="0.25">
      <c r="A821" s="341" t="s">
        <v>388</v>
      </c>
      <c r="B821" s="181" t="s">
        <v>7722</v>
      </c>
      <c r="C821" s="125">
        <v>557</v>
      </c>
      <c r="D821" s="585" t="s">
        <v>53</v>
      </c>
      <c r="E821" s="585" t="s">
        <v>57</v>
      </c>
      <c r="F821" s="126"/>
      <c r="G821" s="126"/>
      <c r="H821" s="125"/>
      <c r="I821" s="126"/>
      <c r="J821" s="247"/>
      <c r="K821" s="189">
        <v>968</v>
      </c>
      <c r="L821" s="355" t="s">
        <v>7699</v>
      </c>
      <c r="M821" s="911">
        <v>1701077.6062</v>
      </c>
      <c r="N821" s="911">
        <v>5418853.4219000004</v>
      </c>
      <c r="O821" s="126" t="s">
        <v>7709</v>
      </c>
      <c r="P821" s="125">
        <v>8</v>
      </c>
      <c r="Q821" s="355" t="s">
        <v>7710</v>
      </c>
      <c r="R821" s="134" t="s">
        <v>16</v>
      </c>
      <c r="S821" s="38" t="s">
        <v>47</v>
      </c>
      <c r="T821" s="39" t="s">
        <v>7700</v>
      </c>
      <c r="U821" s="31">
        <v>2000</v>
      </c>
      <c r="V821" s="31">
        <f>U821-300</f>
        <v>1700</v>
      </c>
      <c r="W821" s="31">
        <f>U821+300</f>
        <v>2300</v>
      </c>
      <c r="X821" s="31"/>
      <c r="Y821" s="31"/>
      <c r="Z821" s="31"/>
      <c r="AA821" s="31" t="s">
        <v>16</v>
      </c>
      <c r="AB821" s="31" t="s">
        <v>16</v>
      </c>
      <c r="AC821" s="31">
        <v>2</v>
      </c>
      <c r="AD821" s="40" t="s">
        <v>7711</v>
      </c>
      <c r="AE821" s="40" t="s">
        <v>7708</v>
      </c>
      <c r="AF821" s="40" t="s">
        <v>37</v>
      </c>
      <c r="AG821" s="744">
        <v>44356</v>
      </c>
      <c r="AH821" s="40"/>
      <c r="AI821" s="31"/>
      <c r="AJ821" s="652"/>
    </row>
    <row r="822" spans="1:36" ht="90" x14ac:dyDescent="0.25">
      <c r="A822" s="339"/>
      <c r="B822" s="116"/>
      <c r="C822" s="95"/>
      <c r="D822" s="567"/>
      <c r="E822" s="567"/>
      <c r="F822" s="108"/>
      <c r="G822" s="108"/>
      <c r="H822" s="95"/>
      <c r="I822" s="108"/>
      <c r="J822" s="122"/>
      <c r="K822" s="191"/>
      <c r="L822" s="359"/>
      <c r="M822" s="913"/>
      <c r="N822" s="913"/>
      <c r="O822" s="95"/>
      <c r="P822" s="95"/>
      <c r="Q822" s="359"/>
      <c r="R822" s="98"/>
      <c r="S822" s="42" t="s">
        <v>91</v>
      </c>
      <c r="T822" s="43" t="s">
        <v>7701</v>
      </c>
      <c r="U822" s="24">
        <v>2900</v>
      </c>
      <c r="V822" s="24">
        <f>U822-500</f>
        <v>2400</v>
      </c>
      <c r="W822" s="24">
        <f>U822+500</f>
        <v>3400</v>
      </c>
      <c r="X822" s="24"/>
      <c r="Y822" s="24"/>
      <c r="Z822" s="24"/>
      <c r="AA822" s="24" t="s">
        <v>16</v>
      </c>
      <c r="AB822" s="24" t="s">
        <v>16</v>
      </c>
      <c r="AC822" s="24">
        <v>2</v>
      </c>
      <c r="AD822" s="46" t="s">
        <v>7711</v>
      </c>
      <c r="AE822" s="46" t="s">
        <v>7708</v>
      </c>
      <c r="AF822" s="46" t="s">
        <v>37</v>
      </c>
      <c r="AG822" s="746">
        <v>44356</v>
      </c>
      <c r="AH822" s="46"/>
      <c r="AI822" s="24"/>
      <c r="AJ822" s="1107"/>
    </row>
    <row r="823" spans="1:36" ht="90" x14ac:dyDescent="0.25">
      <c r="A823" s="339"/>
      <c r="B823" s="116"/>
      <c r="C823" s="95"/>
      <c r="D823" s="567"/>
      <c r="E823" s="567"/>
      <c r="F823" s="108"/>
      <c r="G823" s="108"/>
      <c r="H823" s="95"/>
      <c r="I823" s="108"/>
      <c r="J823" s="122"/>
      <c r="K823" s="191"/>
      <c r="L823" s="359"/>
      <c r="M823" s="913"/>
      <c r="N823" s="913"/>
      <c r="O823" s="95"/>
      <c r="P823" s="95"/>
      <c r="Q823" s="359"/>
      <c r="R823" s="98"/>
      <c r="S823" s="42" t="s">
        <v>92</v>
      </c>
      <c r="T823" s="43" t="s">
        <v>7702</v>
      </c>
      <c r="U823" s="24">
        <v>5500</v>
      </c>
      <c r="V823" s="24">
        <f>U823-800</f>
        <v>4700</v>
      </c>
      <c r="W823" s="24">
        <f>U823+800</f>
        <v>6300</v>
      </c>
      <c r="X823" s="24"/>
      <c r="Y823" s="24"/>
      <c r="Z823" s="24"/>
      <c r="AA823" s="24" t="s">
        <v>16</v>
      </c>
      <c r="AB823" s="24" t="s">
        <v>16</v>
      </c>
      <c r="AC823" s="24">
        <v>2</v>
      </c>
      <c r="AD823" s="46" t="s">
        <v>7711</v>
      </c>
      <c r="AE823" s="46" t="s">
        <v>7708</v>
      </c>
      <c r="AF823" s="46" t="s">
        <v>37</v>
      </c>
      <c r="AG823" s="746">
        <v>44356</v>
      </c>
      <c r="AH823" s="46"/>
      <c r="AI823" s="24"/>
      <c r="AJ823" s="1107"/>
    </row>
    <row r="824" spans="1:36" ht="90" x14ac:dyDescent="0.25">
      <c r="A824" s="339"/>
      <c r="B824" s="116"/>
      <c r="C824" s="95"/>
      <c r="D824" s="567"/>
      <c r="E824" s="567"/>
      <c r="F824" s="108"/>
      <c r="G824" s="108"/>
      <c r="H824" s="95"/>
      <c r="I824" s="108"/>
      <c r="J824" s="122"/>
      <c r="K824" s="191"/>
      <c r="L824" s="359"/>
      <c r="M824" s="913"/>
      <c r="N824" s="913"/>
      <c r="O824" s="95"/>
      <c r="P824" s="95"/>
      <c r="Q824" s="359"/>
      <c r="R824" s="98"/>
      <c r="S824" s="42" t="s">
        <v>99</v>
      </c>
      <c r="T824" s="43" t="s">
        <v>7703</v>
      </c>
      <c r="U824" s="24">
        <v>7400</v>
      </c>
      <c r="V824" s="24">
        <f>U824-1700</f>
        <v>5700</v>
      </c>
      <c r="W824" s="24">
        <f>U824+1700</f>
        <v>9100</v>
      </c>
      <c r="X824" s="24"/>
      <c r="Y824" s="24"/>
      <c r="Z824" s="24"/>
      <c r="AA824" s="24" t="s">
        <v>16</v>
      </c>
      <c r="AB824" s="24" t="s">
        <v>16</v>
      </c>
      <c r="AC824" s="24">
        <v>2</v>
      </c>
      <c r="AD824" s="46" t="s">
        <v>7711</v>
      </c>
      <c r="AE824" s="46" t="s">
        <v>7708</v>
      </c>
      <c r="AF824" s="46" t="s">
        <v>37</v>
      </c>
      <c r="AG824" s="746">
        <v>44356</v>
      </c>
      <c r="AH824" s="46"/>
      <c r="AI824" s="24"/>
      <c r="AJ824" s="1107"/>
    </row>
    <row r="825" spans="1:36" ht="90" x14ac:dyDescent="0.25">
      <c r="A825" s="339"/>
      <c r="B825" s="116"/>
      <c r="C825" s="95"/>
      <c r="D825" s="567"/>
      <c r="E825" s="567"/>
      <c r="F825" s="108"/>
      <c r="G825" s="108"/>
      <c r="H825" s="95"/>
      <c r="I825" s="108"/>
      <c r="J825" s="122"/>
      <c r="K825" s="191"/>
      <c r="L825" s="359"/>
      <c r="M825" s="913"/>
      <c r="N825" s="913"/>
      <c r="O825" s="95"/>
      <c r="P825" s="95"/>
      <c r="Q825" s="359"/>
      <c r="R825" s="98"/>
      <c r="S825" s="42" t="s">
        <v>100</v>
      </c>
      <c r="T825" s="43" t="s">
        <v>7704</v>
      </c>
      <c r="U825" s="24">
        <v>9000</v>
      </c>
      <c r="V825" s="24">
        <f>U825-2700</f>
        <v>6300</v>
      </c>
      <c r="W825" s="24">
        <f>U825+2700</f>
        <v>11700</v>
      </c>
      <c r="X825" s="24"/>
      <c r="Y825" s="24"/>
      <c r="Z825" s="24"/>
      <c r="AA825" s="24" t="s">
        <v>16</v>
      </c>
      <c r="AB825" s="24" t="s">
        <v>16</v>
      </c>
      <c r="AC825" s="24">
        <v>2</v>
      </c>
      <c r="AD825" s="46" t="s">
        <v>7711</v>
      </c>
      <c r="AE825" s="46" t="s">
        <v>7708</v>
      </c>
      <c r="AF825" s="46" t="s">
        <v>37</v>
      </c>
      <c r="AG825" s="746">
        <v>44356</v>
      </c>
      <c r="AH825" s="46"/>
      <c r="AI825" s="24"/>
      <c r="AJ825" s="1107"/>
    </row>
    <row r="826" spans="1:36" ht="90" x14ac:dyDescent="0.25">
      <c r="A826" s="339"/>
      <c r="B826" s="116"/>
      <c r="C826" s="95"/>
      <c r="D826" s="567"/>
      <c r="E826" s="567"/>
      <c r="F826" s="108"/>
      <c r="G826" s="108"/>
      <c r="H826" s="95"/>
      <c r="I826" s="108"/>
      <c r="J826" s="122"/>
      <c r="K826" s="191"/>
      <c r="L826" s="359"/>
      <c r="M826" s="913"/>
      <c r="N826" s="913"/>
      <c r="O826" s="95"/>
      <c r="P826" s="95"/>
      <c r="Q826" s="359"/>
      <c r="R826" s="98"/>
      <c r="S826" s="42" t="s">
        <v>101</v>
      </c>
      <c r="T826" s="43" t="s">
        <v>7705</v>
      </c>
      <c r="U826" s="24">
        <v>11000</v>
      </c>
      <c r="V826" s="793">
        <f>U826-1400</f>
        <v>9600</v>
      </c>
      <c r="W826" s="24">
        <f>U826+1400</f>
        <v>12400</v>
      </c>
      <c r="X826" s="24"/>
      <c r="Y826" s="24"/>
      <c r="Z826" s="24"/>
      <c r="AA826" s="24" t="s">
        <v>16</v>
      </c>
      <c r="AB826" s="24" t="s">
        <v>16</v>
      </c>
      <c r="AC826" s="24">
        <v>2</v>
      </c>
      <c r="AD826" s="46" t="s">
        <v>7711</v>
      </c>
      <c r="AE826" s="46" t="s">
        <v>7708</v>
      </c>
      <c r="AF826" s="46" t="s">
        <v>37</v>
      </c>
      <c r="AG826" s="746">
        <v>44356</v>
      </c>
      <c r="AH826" s="46"/>
      <c r="AI826" s="24"/>
      <c r="AJ826" s="1107"/>
    </row>
    <row r="827" spans="1:36" ht="90" x14ac:dyDescent="0.25">
      <c r="A827" s="339"/>
      <c r="B827" s="116"/>
      <c r="C827" s="95"/>
      <c r="D827" s="567"/>
      <c r="E827" s="567"/>
      <c r="F827" s="108"/>
      <c r="G827" s="108"/>
      <c r="H827" s="95"/>
      <c r="I827" s="108"/>
      <c r="J827" s="122"/>
      <c r="K827" s="191"/>
      <c r="L827" s="359"/>
      <c r="M827" s="913"/>
      <c r="N827" s="913"/>
      <c r="O827" s="95"/>
      <c r="P827" s="95"/>
      <c r="Q827" s="359"/>
      <c r="R827" s="98"/>
      <c r="S827" s="42" t="s">
        <v>102</v>
      </c>
      <c r="T827" s="43" t="s">
        <v>7706</v>
      </c>
      <c r="U827" s="24">
        <v>14100</v>
      </c>
      <c r="V827" s="24">
        <f>U827-2700</f>
        <v>11400</v>
      </c>
      <c r="W827" s="24">
        <f>U827+2700</f>
        <v>16800</v>
      </c>
      <c r="X827" s="24"/>
      <c r="Y827" s="24"/>
      <c r="Z827" s="24"/>
      <c r="AA827" s="24" t="s">
        <v>16</v>
      </c>
      <c r="AB827" s="24" t="s">
        <v>16</v>
      </c>
      <c r="AC827" s="24">
        <v>2</v>
      </c>
      <c r="AD827" s="46" t="s">
        <v>7711</v>
      </c>
      <c r="AE827" s="46" t="s">
        <v>7708</v>
      </c>
      <c r="AF827" s="46" t="s">
        <v>37</v>
      </c>
      <c r="AG827" s="746">
        <v>44356</v>
      </c>
      <c r="AH827" s="46"/>
      <c r="AI827" s="24"/>
      <c r="AJ827" s="1107"/>
    </row>
    <row r="828" spans="1:36" ht="90.75" thickBot="1" x14ac:dyDescent="0.3">
      <c r="A828" s="336"/>
      <c r="B828" s="196"/>
      <c r="C828" s="96"/>
      <c r="D828" s="566"/>
      <c r="E828" s="566"/>
      <c r="F828" s="107"/>
      <c r="G828" s="107"/>
      <c r="H828" s="96"/>
      <c r="I828" s="107"/>
      <c r="J828" s="123"/>
      <c r="K828" s="190"/>
      <c r="L828" s="357"/>
      <c r="M828" s="912"/>
      <c r="N828" s="912"/>
      <c r="O828" s="96"/>
      <c r="P828" s="96"/>
      <c r="Q828" s="357"/>
      <c r="R828" s="100"/>
      <c r="S828" s="48" t="s">
        <v>103</v>
      </c>
      <c r="T828" s="49" t="s">
        <v>7707</v>
      </c>
      <c r="U828" s="25">
        <v>17900</v>
      </c>
      <c r="V828" s="25">
        <f>U828-3400</f>
        <v>14500</v>
      </c>
      <c r="W828" s="25">
        <f>U828+3400</f>
        <v>21300</v>
      </c>
      <c r="X828" s="25"/>
      <c r="Y828" s="25"/>
      <c r="Z828" s="25"/>
      <c r="AA828" s="25" t="s">
        <v>16</v>
      </c>
      <c r="AB828" s="25" t="s">
        <v>16</v>
      </c>
      <c r="AC828" s="25">
        <v>2</v>
      </c>
      <c r="AD828" s="52" t="s">
        <v>7711</v>
      </c>
      <c r="AE828" s="52" t="s">
        <v>7708</v>
      </c>
      <c r="AF828" s="52" t="s">
        <v>37</v>
      </c>
      <c r="AG828" s="745">
        <v>44356</v>
      </c>
      <c r="AH828" s="52"/>
      <c r="AI828" s="25"/>
      <c r="AJ828" s="653"/>
    </row>
    <row r="829" spans="1:36" ht="78" thickBot="1" x14ac:dyDescent="0.3">
      <c r="A829" s="681" t="s">
        <v>2054</v>
      </c>
      <c r="B829" s="682" t="s">
        <v>2054</v>
      </c>
      <c r="C829" s="663">
        <v>716</v>
      </c>
      <c r="D829" s="781" t="s">
        <v>52</v>
      </c>
      <c r="E829" s="781" t="s">
        <v>53</v>
      </c>
      <c r="F829" s="675" t="s">
        <v>6731</v>
      </c>
      <c r="G829" s="1121" t="s">
        <v>1316</v>
      </c>
      <c r="H829" s="663" t="s">
        <v>85</v>
      </c>
      <c r="I829" s="675" t="s">
        <v>6732</v>
      </c>
      <c r="J829" s="1124" t="s">
        <v>7693</v>
      </c>
      <c r="K829" s="688">
        <v>4084</v>
      </c>
      <c r="L829" s="690" t="s">
        <v>6733</v>
      </c>
      <c r="M829" s="973">
        <v>1390377.932671</v>
      </c>
      <c r="N829" s="973">
        <v>5051315.3564550001</v>
      </c>
      <c r="O829" s="692" t="s">
        <v>6734</v>
      </c>
      <c r="P829" s="694" t="s">
        <v>2146</v>
      </c>
      <c r="Q829" s="690" t="s">
        <v>6735</v>
      </c>
      <c r="R829" s="691" t="s">
        <v>85</v>
      </c>
      <c r="S829" s="683" t="s">
        <v>47</v>
      </c>
      <c r="T829" s="329" t="s">
        <v>6736</v>
      </c>
      <c r="U829" s="86"/>
      <c r="V829" s="86">
        <v>3000</v>
      </c>
      <c r="W829" s="86">
        <v>14000</v>
      </c>
      <c r="X829" s="86"/>
      <c r="Y829" s="86"/>
      <c r="Z829" s="86"/>
      <c r="AA829" s="86" t="s">
        <v>85</v>
      </c>
      <c r="AB829" s="86" t="s">
        <v>10</v>
      </c>
      <c r="AC829" s="86">
        <v>3</v>
      </c>
      <c r="AD829" s="92" t="s">
        <v>7687</v>
      </c>
      <c r="AE829" s="92" t="s">
        <v>7691</v>
      </c>
      <c r="AF829" s="92" t="s">
        <v>6372</v>
      </c>
      <c r="AG829" s="743">
        <v>44294</v>
      </c>
      <c r="AH829" s="92"/>
      <c r="AI829" s="743">
        <v>44350</v>
      </c>
      <c r="AJ829" s="1108" t="s">
        <v>37</v>
      </c>
    </row>
    <row r="830" spans="1:36" ht="39.75" thickBot="1" x14ac:dyDescent="0.3">
      <c r="A830" s="1115"/>
      <c r="B830" s="1116"/>
      <c r="C830" s="678"/>
      <c r="D830" s="785"/>
      <c r="E830" s="785"/>
      <c r="F830" s="677"/>
      <c r="G830" s="677"/>
      <c r="H830" s="678"/>
      <c r="I830" s="677"/>
      <c r="J830" s="1125"/>
      <c r="K830" s="688">
        <v>4085</v>
      </c>
      <c r="L830" s="690" t="s">
        <v>6737</v>
      </c>
      <c r="M830" s="973">
        <v>1390355.2319400001</v>
      </c>
      <c r="N830" s="973">
        <v>5051303.4806080004</v>
      </c>
      <c r="O830" s="692" t="s">
        <v>6738</v>
      </c>
      <c r="P830" s="694" t="s">
        <v>2146</v>
      </c>
      <c r="Q830" s="690" t="s">
        <v>6739</v>
      </c>
      <c r="R830" s="691" t="s">
        <v>85</v>
      </c>
      <c r="S830" s="683" t="s">
        <v>47</v>
      </c>
      <c r="T830" s="329" t="s">
        <v>6740</v>
      </c>
      <c r="U830" s="86">
        <v>13200</v>
      </c>
      <c r="V830" s="86">
        <v>11600</v>
      </c>
      <c r="W830" s="86">
        <v>14800</v>
      </c>
      <c r="X830" s="86">
        <v>12100</v>
      </c>
      <c r="Y830" s="86">
        <v>10900</v>
      </c>
      <c r="Z830" s="86">
        <v>13300</v>
      </c>
      <c r="AA830" s="86" t="s">
        <v>16</v>
      </c>
      <c r="AB830" s="86" t="s">
        <v>10</v>
      </c>
      <c r="AC830" s="86">
        <v>2</v>
      </c>
      <c r="AD830" s="92" t="s">
        <v>7688</v>
      </c>
      <c r="AE830" s="92" t="s">
        <v>7691</v>
      </c>
      <c r="AF830" s="92" t="s">
        <v>6372</v>
      </c>
      <c r="AG830" s="743">
        <v>44294</v>
      </c>
      <c r="AH830" s="92"/>
      <c r="AI830" s="743">
        <v>44350</v>
      </c>
      <c r="AJ830" s="1108" t="s">
        <v>37</v>
      </c>
    </row>
    <row r="831" spans="1:36" ht="39.75" thickBot="1" x14ac:dyDescent="0.3">
      <c r="A831" s="1115"/>
      <c r="B831" s="1116"/>
      <c r="C831" s="678"/>
      <c r="D831" s="785"/>
      <c r="E831" s="785"/>
      <c r="F831" s="677"/>
      <c r="G831" s="677"/>
      <c r="H831" s="678"/>
      <c r="I831" s="677"/>
      <c r="J831" s="1125"/>
      <c r="K831" s="688">
        <v>4087</v>
      </c>
      <c r="L831" s="690" t="s">
        <v>6741</v>
      </c>
      <c r="M831" s="973">
        <v>1390251.134357</v>
      </c>
      <c r="N831" s="973">
        <v>5051428.8601259999</v>
      </c>
      <c r="O831" s="689" t="s">
        <v>41</v>
      </c>
      <c r="P831" s="694" t="s">
        <v>2146</v>
      </c>
      <c r="Q831" s="690" t="s">
        <v>2156</v>
      </c>
      <c r="R831" s="691" t="s">
        <v>2156</v>
      </c>
      <c r="S831" s="683" t="s">
        <v>47</v>
      </c>
      <c r="T831" s="329" t="s">
        <v>6742</v>
      </c>
      <c r="U831" s="86"/>
      <c r="V831" s="86"/>
      <c r="W831" s="86"/>
      <c r="X831" s="86"/>
      <c r="Y831" s="86">
        <v>13100</v>
      </c>
      <c r="Z831" s="86">
        <v>16300</v>
      </c>
      <c r="AA831" s="86" t="s">
        <v>85</v>
      </c>
      <c r="AB831" s="86" t="s">
        <v>10</v>
      </c>
      <c r="AC831" s="86">
        <v>3</v>
      </c>
      <c r="AD831" s="92" t="s">
        <v>7689</v>
      </c>
      <c r="AE831" s="92" t="s">
        <v>7691</v>
      </c>
      <c r="AF831" s="92" t="s">
        <v>6372</v>
      </c>
      <c r="AG831" s="743">
        <v>44325</v>
      </c>
      <c r="AH831" s="92"/>
      <c r="AI831" s="743">
        <v>44350</v>
      </c>
      <c r="AJ831" s="1108" t="s">
        <v>37</v>
      </c>
    </row>
    <row r="832" spans="1:36" ht="52.5" thickBot="1" x14ac:dyDescent="0.3">
      <c r="A832" s="1115"/>
      <c r="B832" s="1116"/>
      <c r="C832" s="678"/>
      <c r="D832" s="785"/>
      <c r="E832" s="785"/>
      <c r="F832" s="677"/>
      <c r="G832" s="677"/>
      <c r="H832" s="678"/>
      <c r="I832" s="677"/>
      <c r="J832" s="1125"/>
      <c r="K832" s="672">
        <v>4096</v>
      </c>
      <c r="L832" s="673" t="s">
        <v>6743</v>
      </c>
      <c r="M832" s="976">
        <v>1390330.4094980001</v>
      </c>
      <c r="N832" s="976">
        <v>5051148.0234000003</v>
      </c>
      <c r="O832" s="671" t="s">
        <v>41</v>
      </c>
      <c r="P832" s="693" t="s">
        <v>2146</v>
      </c>
      <c r="Q832" s="673" t="s">
        <v>2156</v>
      </c>
      <c r="R832" s="674" t="s">
        <v>2156</v>
      </c>
      <c r="S832" s="683" t="s">
        <v>47</v>
      </c>
      <c r="T832" s="329" t="s">
        <v>6744</v>
      </c>
      <c r="U832" s="86"/>
      <c r="V832" s="86">
        <v>8200</v>
      </c>
      <c r="W832" s="86">
        <v>23000</v>
      </c>
      <c r="X832" s="86"/>
      <c r="Y832" s="86"/>
      <c r="Z832" s="86"/>
      <c r="AA832" s="86" t="s">
        <v>85</v>
      </c>
      <c r="AB832" s="86" t="s">
        <v>85</v>
      </c>
      <c r="AC832" s="86">
        <v>3</v>
      </c>
      <c r="AD832" s="92" t="s">
        <v>7690</v>
      </c>
      <c r="AE832" s="92" t="s">
        <v>7691</v>
      </c>
      <c r="AF832" s="92" t="s">
        <v>6372</v>
      </c>
      <c r="AG832" s="743">
        <v>44305</v>
      </c>
      <c r="AH832" s="92"/>
      <c r="AI832" s="743">
        <v>44350</v>
      </c>
      <c r="AJ832" s="1108" t="s">
        <v>37</v>
      </c>
    </row>
    <row r="833" spans="1:36" ht="27" thickBot="1" x14ac:dyDescent="0.3">
      <c r="A833" s="1117"/>
      <c r="B833" s="1118"/>
      <c r="C833" s="671"/>
      <c r="D833" s="783"/>
      <c r="E833" s="783"/>
      <c r="F833" s="680"/>
      <c r="G833" s="680"/>
      <c r="H833" s="671"/>
      <c r="I833" s="680"/>
      <c r="J833" s="1126"/>
      <c r="K833" s="688" t="s">
        <v>2156</v>
      </c>
      <c r="L833" s="690" t="s">
        <v>7692</v>
      </c>
      <c r="M833" s="973" t="s">
        <v>2156</v>
      </c>
      <c r="N833" s="973" t="s">
        <v>2156</v>
      </c>
      <c r="O833" s="689" t="s">
        <v>6731</v>
      </c>
      <c r="P833" s="791" t="s">
        <v>1316</v>
      </c>
      <c r="Q833" s="690" t="s">
        <v>7697</v>
      </c>
      <c r="R833" s="691" t="s">
        <v>85</v>
      </c>
      <c r="S833" s="683" t="s">
        <v>47</v>
      </c>
      <c r="T833" s="329" t="s">
        <v>7694</v>
      </c>
      <c r="U833" s="86">
        <v>14100</v>
      </c>
      <c r="V833" s="86"/>
      <c r="W833" s="86"/>
      <c r="X833" s="86">
        <v>13100</v>
      </c>
      <c r="Y833" s="86"/>
      <c r="Z833" s="86"/>
      <c r="AA833" s="86" t="s">
        <v>16</v>
      </c>
      <c r="AB833" s="86" t="s">
        <v>10</v>
      </c>
      <c r="AC833" s="86">
        <v>2</v>
      </c>
      <c r="AD833" s="92" t="s">
        <v>7695</v>
      </c>
      <c r="AE833" s="92" t="s">
        <v>7696</v>
      </c>
      <c r="AF833" s="92" t="s">
        <v>37</v>
      </c>
      <c r="AG833" s="743">
        <v>44350</v>
      </c>
      <c r="AH833" s="92"/>
      <c r="AI833" s="743"/>
      <c r="AJ833" s="1108"/>
    </row>
    <row r="834" spans="1:36" ht="78" thickBot="1" x14ac:dyDescent="0.3">
      <c r="A834" s="345" t="s">
        <v>4607</v>
      </c>
      <c r="B834" s="331" t="s">
        <v>4609</v>
      </c>
      <c r="C834" s="83">
        <v>39</v>
      </c>
      <c r="D834" s="588" t="s">
        <v>57</v>
      </c>
      <c r="E834" s="588" t="s">
        <v>53</v>
      </c>
      <c r="F834" s="199"/>
      <c r="G834" s="199"/>
      <c r="H834" s="83"/>
      <c r="I834" s="199"/>
      <c r="J834" s="395"/>
      <c r="K834" s="87">
        <v>806</v>
      </c>
      <c r="L834" s="360" t="s">
        <v>4610</v>
      </c>
      <c r="M834" s="198">
        <v>1738757.8219000001</v>
      </c>
      <c r="N834" s="198">
        <v>5595882.1783999996</v>
      </c>
      <c r="O834" s="199" t="s">
        <v>4611</v>
      </c>
      <c r="P834" s="268" t="s">
        <v>1316</v>
      </c>
      <c r="Q834" s="360" t="s">
        <v>4612</v>
      </c>
      <c r="R834" s="88" t="s">
        <v>85</v>
      </c>
      <c r="S834" s="428" t="s">
        <v>4613</v>
      </c>
      <c r="T834" s="243" t="s">
        <v>4614</v>
      </c>
      <c r="U834" s="86"/>
      <c r="V834" s="86"/>
      <c r="W834" s="86"/>
      <c r="X834" s="86"/>
      <c r="Y834" s="86"/>
      <c r="Z834" s="86"/>
      <c r="AA834" s="86" t="s">
        <v>16</v>
      </c>
      <c r="AB834" s="86" t="s">
        <v>10</v>
      </c>
      <c r="AC834" s="86">
        <v>2</v>
      </c>
      <c r="AD834" s="92" t="s">
        <v>4615</v>
      </c>
      <c r="AE834" s="92" t="s">
        <v>4616</v>
      </c>
      <c r="AF834" s="92" t="s">
        <v>37</v>
      </c>
      <c r="AG834" s="743">
        <v>44215</v>
      </c>
      <c r="AH834" s="92"/>
      <c r="AI834" s="86"/>
      <c r="AJ834" s="1108"/>
    </row>
    <row r="835" spans="1:36" ht="51.75" x14ac:dyDescent="0.25">
      <c r="A835" s="341" t="s">
        <v>50</v>
      </c>
      <c r="B835" s="181" t="s">
        <v>6830</v>
      </c>
      <c r="C835" s="125">
        <v>287</v>
      </c>
      <c r="D835" s="585" t="s">
        <v>53</v>
      </c>
      <c r="E835" s="585"/>
      <c r="F835" s="126"/>
      <c r="G835" s="126"/>
      <c r="H835" s="125"/>
      <c r="I835" s="126"/>
      <c r="J835" s="247"/>
      <c r="K835" s="189">
        <v>1090</v>
      </c>
      <c r="L835" s="355" t="s">
        <v>7314</v>
      </c>
      <c r="M835" s="911">
        <v>1742205.5192</v>
      </c>
      <c r="N835" s="911">
        <v>5421789.8387000002</v>
      </c>
      <c r="O835" s="125" t="s">
        <v>41</v>
      </c>
      <c r="P835" s="125">
        <v>4</v>
      </c>
      <c r="Q835" s="355" t="s">
        <v>2156</v>
      </c>
      <c r="R835" s="134" t="s">
        <v>2156</v>
      </c>
      <c r="S835" s="656" t="s">
        <v>47</v>
      </c>
      <c r="T835" s="340" t="s">
        <v>7315</v>
      </c>
      <c r="U835" s="31"/>
      <c r="V835" s="31">
        <v>688</v>
      </c>
      <c r="W835" s="31">
        <v>794</v>
      </c>
      <c r="X835" s="31"/>
      <c r="Y835" s="31"/>
      <c r="Z835" s="31"/>
      <c r="AA835" s="31" t="s">
        <v>85</v>
      </c>
      <c r="AB835" s="31" t="s">
        <v>16</v>
      </c>
      <c r="AC835" s="31">
        <v>3</v>
      </c>
      <c r="AD835" s="40" t="s">
        <v>7911</v>
      </c>
      <c r="AE835" s="40" t="s">
        <v>7545</v>
      </c>
      <c r="AF835" s="40" t="s">
        <v>1380</v>
      </c>
      <c r="AG835" s="744">
        <v>44222</v>
      </c>
      <c r="AH835" s="40"/>
      <c r="AI835" s="744">
        <v>44348</v>
      </c>
      <c r="AJ835" s="1135" t="s">
        <v>37</v>
      </c>
    </row>
    <row r="836" spans="1:36" ht="64.5" x14ac:dyDescent="0.25">
      <c r="A836" s="339"/>
      <c r="B836" s="338"/>
      <c r="C836" s="277"/>
      <c r="D836" s="565"/>
      <c r="E836" s="565"/>
      <c r="F836" s="276"/>
      <c r="G836" s="276"/>
      <c r="H836" s="277"/>
      <c r="I836" s="276"/>
      <c r="J836" s="122"/>
      <c r="K836" s="191"/>
      <c r="L836" s="359"/>
      <c r="M836" s="913"/>
      <c r="N836" s="913"/>
      <c r="O836" s="95"/>
      <c r="P836" s="95"/>
      <c r="Q836" s="359"/>
      <c r="R836" s="98"/>
      <c r="S836" s="658" t="s">
        <v>91</v>
      </c>
      <c r="T836" s="179" t="s">
        <v>7316</v>
      </c>
      <c r="U836" s="24"/>
      <c r="V836" s="24">
        <v>1833</v>
      </c>
      <c r="W836" s="24">
        <v>1996</v>
      </c>
      <c r="X836" s="24"/>
      <c r="Y836" s="24">
        <v>788</v>
      </c>
      <c r="Z836" s="24">
        <v>928</v>
      </c>
      <c r="AA836" s="24" t="s">
        <v>85</v>
      </c>
      <c r="AB836" s="24" t="s">
        <v>16</v>
      </c>
      <c r="AC836" s="24">
        <v>3</v>
      </c>
      <c r="AD836" s="46" t="s">
        <v>7912</v>
      </c>
      <c r="AE836" s="46" t="s">
        <v>7545</v>
      </c>
      <c r="AF836" s="46" t="s">
        <v>1380</v>
      </c>
      <c r="AG836" s="746">
        <v>44222</v>
      </c>
      <c r="AH836" s="46"/>
      <c r="AI836" s="746">
        <v>44348</v>
      </c>
      <c r="AJ836" s="1131" t="s">
        <v>37</v>
      </c>
    </row>
    <row r="837" spans="1:36" ht="51.75" x14ac:dyDescent="0.25">
      <c r="A837" s="339"/>
      <c r="B837" s="338"/>
      <c r="C837" s="277"/>
      <c r="D837" s="565"/>
      <c r="E837" s="565"/>
      <c r="F837" s="276"/>
      <c r="G837" s="276"/>
      <c r="H837" s="277"/>
      <c r="I837" s="276"/>
      <c r="J837" s="122"/>
      <c r="K837" s="191"/>
      <c r="L837" s="359"/>
      <c r="M837" s="913"/>
      <c r="N837" s="913"/>
      <c r="O837" s="95"/>
      <c r="P837" s="95"/>
      <c r="Q837" s="359"/>
      <c r="R837" s="98"/>
      <c r="S837" s="658" t="s">
        <v>92</v>
      </c>
      <c r="T837" s="179" t="s">
        <v>7317</v>
      </c>
      <c r="U837" s="24"/>
      <c r="V837" s="24">
        <v>2131</v>
      </c>
      <c r="W837" s="24">
        <v>2338</v>
      </c>
      <c r="X837" s="24"/>
      <c r="Y837" s="24">
        <v>1833</v>
      </c>
      <c r="Z837" s="24">
        <v>1996</v>
      </c>
      <c r="AA837" s="24" t="s">
        <v>16</v>
      </c>
      <c r="AB837" s="24" t="s">
        <v>10</v>
      </c>
      <c r="AC837" s="24">
        <v>2</v>
      </c>
      <c r="AD837" s="46" t="s">
        <v>7913</v>
      </c>
      <c r="AE837" s="46" t="s">
        <v>7545</v>
      </c>
      <c r="AF837" s="46" t="s">
        <v>1380</v>
      </c>
      <c r="AG837" s="746">
        <v>44222</v>
      </c>
      <c r="AH837" s="46"/>
      <c r="AI837" s="746">
        <v>44348</v>
      </c>
      <c r="AJ837" s="1131" t="s">
        <v>37</v>
      </c>
    </row>
    <row r="838" spans="1:36" ht="52.5" thickBot="1" x14ac:dyDescent="0.3">
      <c r="A838" s="339"/>
      <c r="B838" s="338"/>
      <c r="C838" s="277"/>
      <c r="D838" s="565"/>
      <c r="E838" s="565"/>
      <c r="F838" s="276"/>
      <c r="G838" s="276"/>
      <c r="H838" s="277"/>
      <c r="I838" s="276"/>
      <c r="J838" s="122"/>
      <c r="K838" s="190"/>
      <c r="L838" s="357"/>
      <c r="M838" s="912"/>
      <c r="N838" s="912"/>
      <c r="O838" s="96"/>
      <c r="P838" s="96"/>
      <c r="Q838" s="357"/>
      <c r="R838" s="100"/>
      <c r="S838" s="761" t="s">
        <v>99</v>
      </c>
      <c r="T838" s="335" t="s">
        <v>7318</v>
      </c>
      <c r="U838" s="335"/>
      <c r="V838" s="25"/>
      <c r="W838" s="25"/>
      <c r="X838" s="25"/>
      <c r="Y838" s="25">
        <v>2460</v>
      </c>
      <c r="Z838" s="25">
        <v>2740</v>
      </c>
      <c r="AA838" s="25" t="s">
        <v>85</v>
      </c>
      <c r="AB838" s="25" t="s">
        <v>16</v>
      </c>
      <c r="AC838" s="25">
        <v>3</v>
      </c>
      <c r="AD838" s="52" t="s">
        <v>7914</v>
      </c>
      <c r="AE838" s="52" t="s">
        <v>7545</v>
      </c>
      <c r="AF838" s="52" t="s">
        <v>1380</v>
      </c>
      <c r="AG838" s="745">
        <v>44222</v>
      </c>
      <c r="AH838" s="52"/>
      <c r="AI838" s="745">
        <v>44348</v>
      </c>
      <c r="AJ838" s="1132" t="s">
        <v>37</v>
      </c>
    </row>
    <row r="839" spans="1:36" ht="116.25" thickBot="1" x14ac:dyDescent="0.3">
      <c r="A839" s="339"/>
      <c r="B839" s="338"/>
      <c r="C839" s="277"/>
      <c r="D839" s="565"/>
      <c r="E839" s="565"/>
      <c r="F839" s="276"/>
      <c r="G839" s="276"/>
      <c r="H839" s="277"/>
      <c r="I839" s="276"/>
      <c r="J839" s="122"/>
      <c r="K839" s="89">
        <v>1081</v>
      </c>
      <c r="L839" s="396" t="s">
        <v>7319</v>
      </c>
      <c r="M839" s="945">
        <v>1743191.4236000001</v>
      </c>
      <c r="N839" s="265">
        <v>5423026.2801000001</v>
      </c>
      <c r="O839" s="84" t="s">
        <v>41</v>
      </c>
      <c r="P839" s="84">
        <v>1</v>
      </c>
      <c r="Q839" s="396" t="s">
        <v>2156</v>
      </c>
      <c r="R839" s="90" t="s">
        <v>2156</v>
      </c>
      <c r="S839" s="762" t="s">
        <v>47</v>
      </c>
      <c r="T839" s="337" t="s">
        <v>7320</v>
      </c>
      <c r="V839" s="2">
        <v>790</v>
      </c>
      <c r="W839" s="2">
        <v>930</v>
      </c>
      <c r="Y839" s="2">
        <v>560</v>
      </c>
      <c r="Z839" s="2">
        <v>670</v>
      </c>
      <c r="AA839" s="2" t="s">
        <v>16</v>
      </c>
      <c r="AB839" s="2" t="s">
        <v>10</v>
      </c>
      <c r="AC839" s="148" t="s">
        <v>4668</v>
      </c>
      <c r="AD839" s="3" t="s">
        <v>7395</v>
      </c>
      <c r="AE839" s="3" t="s">
        <v>1782</v>
      </c>
      <c r="AF839" s="3" t="s">
        <v>1380</v>
      </c>
      <c r="AG839" s="747">
        <v>44222</v>
      </c>
      <c r="AI839" s="747">
        <v>44348</v>
      </c>
      <c r="AJ839" s="1131" t="s">
        <v>37</v>
      </c>
    </row>
    <row r="840" spans="1:36" ht="77.25" x14ac:dyDescent="0.25">
      <c r="A840" s="338"/>
      <c r="B840" s="338"/>
      <c r="C840" s="277"/>
      <c r="D840" s="565"/>
      <c r="E840" s="565"/>
      <c r="F840" s="276"/>
      <c r="G840" s="276"/>
      <c r="H840" s="277"/>
      <c r="I840" s="276"/>
      <c r="J840" s="338"/>
      <c r="K840" s="189">
        <v>1080</v>
      </c>
      <c r="L840" s="355" t="s">
        <v>7321</v>
      </c>
      <c r="M840" s="967">
        <v>1743174.2257000001</v>
      </c>
      <c r="N840" s="911">
        <v>5423003.7905000001</v>
      </c>
      <c r="O840" s="125" t="s">
        <v>41</v>
      </c>
      <c r="P840" s="125">
        <v>2</v>
      </c>
      <c r="Q840" s="355" t="s">
        <v>2156</v>
      </c>
      <c r="R840" s="134" t="s">
        <v>2156</v>
      </c>
      <c r="S840" s="763" t="s">
        <v>47</v>
      </c>
      <c r="T840" s="340" t="s">
        <v>7322</v>
      </c>
      <c r="U840" s="31"/>
      <c r="V840" s="31">
        <v>2120</v>
      </c>
      <c r="W840" s="31">
        <v>2330</v>
      </c>
      <c r="X840" s="31"/>
      <c r="Y840" s="31"/>
      <c r="Z840" s="31"/>
      <c r="AA840" s="31" t="s">
        <v>85</v>
      </c>
      <c r="AB840" s="31" t="s">
        <v>16</v>
      </c>
      <c r="AC840" s="31">
        <v>3</v>
      </c>
      <c r="AD840" s="40" t="s">
        <v>7396</v>
      </c>
      <c r="AE840" s="40" t="s">
        <v>1782</v>
      </c>
      <c r="AF840" s="40" t="s">
        <v>1380</v>
      </c>
      <c r="AG840" s="744">
        <v>44222</v>
      </c>
      <c r="AH840" s="40"/>
      <c r="AI840" s="744">
        <v>44348</v>
      </c>
      <c r="AJ840" s="1135" t="s">
        <v>37</v>
      </c>
    </row>
    <row r="841" spans="1:36" ht="129" thickBot="1" x14ac:dyDescent="0.3">
      <c r="A841" s="338"/>
      <c r="B841" s="338"/>
      <c r="C841" s="277"/>
      <c r="D841" s="565"/>
      <c r="E841" s="565"/>
      <c r="F841" s="276"/>
      <c r="G841" s="276"/>
      <c r="H841" s="277"/>
      <c r="I841" s="276"/>
      <c r="J841" s="338"/>
      <c r="K841" s="190"/>
      <c r="L841" s="357"/>
      <c r="M841" s="968"/>
      <c r="N841" s="912"/>
      <c r="O841" s="96"/>
      <c r="P841" s="96"/>
      <c r="Q841" s="357"/>
      <c r="R841" s="100"/>
      <c r="S841" s="764" t="s">
        <v>91</v>
      </c>
      <c r="T841" s="335" t="s">
        <v>7323</v>
      </c>
      <c r="U841" s="25"/>
      <c r="V841" s="25"/>
      <c r="W841" s="25"/>
      <c r="X841" s="25"/>
      <c r="Y841" s="25">
        <v>3380</v>
      </c>
      <c r="Z841" s="25">
        <v>3540</v>
      </c>
      <c r="AA841" s="25" t="s">
        <v>85</v>
      </c>
      <c r="AB841" s="25" t="s">
        <v>16</v>
      </c>
      <c r="AC841" s="25">
        <v>3</v>
      </c>
      <c r="AD841" s="52" t="s">
        <v>7397</v>
      </c>
      <c r="AE841" s="52" t="s">
        <v>1782</v>
      </c>
      <c r="AF841" s="52" t="s">
        <v>1380</v>
      </c>
      <c r="AG841" s="745">
        <v>44222</v>
      </c>
      <c r="AH841" s="52"/>
      <c r="AI841" s="745">
        <v>44348</v>
      </c>
      <c r="AJ841" s="1132" t="s">
        <v>37</v>
      </c>
    </row>
    <row r="842" spans="1:36" ht="90.75" thickBot="1" x14ac:dyDescent="0.3">
      <c r="A842" s="338"/>
      <c r="B842" s="338"/>
      <c r="C842" s="277"/>
      <c r="D842" s="565"/>
      <c r="E842" s="565"/>
      <c r="F842" s="276"/>
      <c r="G842" s="276"/>
      <c r="H842" s="277"/>
      <c r="I842" s="276"/>
      <c r="J842" s="338"/>
      <c r="K842" s="190">
        <v>1079</v>
      </c>
      <c r="L842" s="357" t="s">
        <v>7324</v>
      </c>
      <c r="M842" s="968">
        <v>1743211.2674</v>
      </c>
      <c r="N842" s="912">
        <v>5423048.1083000004</v>
      </c>
      <c r="O842" s="96" t="s">
        <v>41</v>
      </c>
      <c r="P842" s="96">
        <v>1</v>
      </c>
      <c r="Q842" s="357" t="s">
        <v>2156</v>
      </c>
      <c r="R842" s="100" t="s">
        <v>2156</v>
      </c>
      <c r="S842" s="761" t="s">
        <v>47</v>
      </c>
      <c r="T842" s="335" t="s">
        <v>7325</v>
      </c>
      <c r="U842" s="25">
        <v>450</v>
      </c>
      <c r="V842" s="25"/>
      <c r="W842" s="25"/>
      <c r="X842" s="25">
        <v>300</v>
      </c>
      <c r="Y842" s="25"/>
      <c r="Z842" s="25"/>
      <c r="AA842" s="25" t="s">
        <v>85</v>
      </c>
      <c r="AB842" s="25" t="s">
        <v>16</v>
      </c>
      <c r="AC842" s="25">
        <v>3</v>
      </c>
      <c r="AD842" s="52" t="s">
        <v>7398</v>
      </c>
      <c r="AE842" s="52" t="s">
        <v>1782</v>
      </c>
      <c r="AF842" s="52" t="s">
        <v>1380</v>
      </c>
      <c r="AG842" s="745">
        <v>44222</v>
      </c>
      <c r="AH842" s="52"/>
      <c r="AI842" s="745">
        <v>44348</v>
      </c>
      <c r="AJ842" s="1132" t="s">
        <v>37</v>
      </c>
    </row>
    <row r="843" spans="1:36" ht="78" thickBot="1" x14ac:dyDescent="0.3">
      <c r="A843" s="338"/>
      <c r="B843" s="338"/>
      <c r="C843" s="277"/>
      <c r="D843" s="565"/>
      <c r="E843" s="565"/>
      <c r="F843" s="276"/>
      <c r="G843" s="276"/>
      <c r="H843" s="277"/>
      <c r="I843" s="276"/>
      <c r="J843" s="338"/>
      <c r="K843" s="189">
        <v>1077</v>
      </c>
      <c r="L843" s="355" t="s">
        <v>7326</v>
      </c>
      <c r="M843" s="967">
        <v>1745190.6735</v>
      </c>
      <c r="N843" s="911">
        <v>5425562.3996000001</v>
      </c>
      <c r="O843" s="125" t="s">
        <v>41</v>
      </c>
      <c r="P843" s="125">
        <v>1</v>
      </c>
      <c r="Q843" s="355" t="s">
        <v>2156</v>
      </c>
      <c r="R843" s="134" t="s">
        <v>2156</v>
      </c>
      <c r="S843" s="765" t="s">
        <v>47</v>
      </c>
      <c r="T843" s="329" t="s">
        <v>7327</v>
      </c>
      <c r="U843" s="86"/>
      <c r="V843" s="86">
        <v>840</v>
      </c>
      <c r="W843" s="86">
        <v>1000</v>
      </c>
      <c r="X843" s="86"/>
      <c r="Y843" s="86"/>
      <c r="Z843" s="86"/>
      <c r="AA843" s="86" t="s">
        <v>85</v>
      </c>
      <c r="AB843" s="86" t="s">
        <v>16</v>
      </c>
      <c r="AC843" s="86">
        <v>3</v>
      </c>
      <c r="AD843" s="92" t="s">
        <v>7399</v>
      </c>
      <c r="AE843" s="92" t="s">
        <v>1782</v>
      </c>
      <c r="AF843" s="92" t="s">
        <v>1380</v>
      </c>
      <c r="AG843" s="743">
        <v>44222</v>
      </c>
      <c r="AH843" s="92"/>
      <c r="AI843" s="743">
        <v>44348</v>
      </c>
      <c r="AJ843" s="1133" t="s">
        <v>37</v>
      </c>
    </row>
    <row r="844" spans="1:36" ht="78" thickBot="1" x14ac:dyDescent="0.3">
      <c r="A844" s="487" t="s">
        <v>50</v>
      </c>
      <c r="B844" s="128" t="s">
        <v>6831</v>
      </c>
      <c r="C844" s="72">
        <v>286</v>
      </c>
      <c r="D844" s="586" t="s">
        <v>53</v>
      </c>
      <c r="E844" s="586" t="s">
        <v>57</v>
      </c>
      <c r="F844" s="129"/>
      <c r="G844" s="129"/>
      <c r="H844" s="72"/>
      <c r="I844" s="129"/>
      <c r="J844" s="381"/>
      <c r="K844" s="187">
        <v>1336</v>
      </c>
      <c r="L844" s="73" t="s">
        <v>7328</v>
      </c>
      <c r="M844" s="942">
        <v>1759604.8659999999</v>
      </c>
      <c r="N844" s="914">
        <v>5436715.9105000002</v>
      </c>
      <c r="O844" s="72" t="s">
        <v>41</v>
      </c>
      <c r="P844" s="72">
        <v>2</v>
      </c>
      <c r="Q844" s="73" t="s">
        <v>2156</v>
      </c>
      <c r="R844" s="74" t="s">
        <v>2156</v>
      </c>
      <c r="S844" s="766" t="s">
        <v>47</v>
      </c>
      <c r="T844" s="329" t="s">
        <v>7329</v>
      </c>
      <c r="U844" s="86"/>
      <c r="V844" s="86"/>
      <c r="W844" s="86"/>
      <c r="X844" s="86"/>
      <c r="Y844" s="86">
        <v>282</v>
      </c>
      <c r="Z844" s="86">
        <v>446</v>
      </c>
      <c r="AA844" s="86" t="s">
        <v>85</v>
      </c>
      <c r="AB844" s="86" t="s">
        <v>85</v>
      </c>
      <c r="AC844" s="86">
        <v>3</v>
      </c>
      <c r="AD844" s="92" t="s">
        <v>7400</v>
      </c>
      <c r="AE844" s="92" t="s">
        <v>7330</v>
      </c>
      <c r="AF844" s="92" t="s">
        <v>1380</v>
      </c>
      <c r="AG844" s="743">
        <v>44306</v>
      </c>
      <c r="AH844" s="92"/>
      <c r="AI844" s="743">
        <v>44348</v>
      </c>
      <c r="AJ844" s="1133" t="s">
        <v>37</v>
      </c>
    </row>
    <row r="845" spans="1:36" ht="78" thickBot="1" x14ac:dyDescent="0.3">
      <c r="A845" s="488"/>
      <c r="B845" s="486"/>
      <c r="C845" s="407"/>
      <c r="D845" s="572"/>
      <c r="E845" s="572"/>
      <c r="F845" s="541"/>
      <c r="G845" s="541"/>
      <c r="H845" s="407"/>
      <c r="I845" s="541"/>
      <c r="J845" s="121"/>
      <c r="K845" s="188"/>
      <c r="L845" s="76"/>
      <c r="M845" s="943"/>
      <c r="N845" s="915"/>
      <c r="O845" s="75"/>
      <c r="P845" s="75"/>
      <c r="Q845" s="76"/>
      <c r="R845" s="77"/>
      <c r="S845" s="766" t="s">
        <v>91</v>
      </c>
      <c r="T845" s="329" t="s">
        <v>7331</v>
      </c>
      <c r="U845" s="86"/>
      <c r="V845" s="86">
        <v>643</v>
      </c>
      <c r="W845" s="86">
        <v>783</v>
      </c>
      <c r="X845" s="86"/>
      <c r="Y845" s="86"/>
      <c r="Z845" s="86"/>
      <c r="AA845" s="86" t="s">
        <v>85</v>
      </c>
      <c r="AB845" s="86" t="s">
        <v>16</v>
      </c>
      <c r="AC845" s="86">
        <v>3</v>
      </c>
      <c r="AD845" s="92" t="s">
        <v>7401</v>
      </c>
      <c r="AE845" s="92" t="s">
        <v>7330</v>
      </c>
      <c r="AF845" s="92" t="s">
        <v>1380</v>
      </c>
      <c r="AG845" s="743">
        <v>44306</v>
      </c>
      <c r="AH845" s="92"/>
      <c r="AI845" s="743">
        <v>44348</v>
      </c>
      <c r="AJ845" s="1133" t="s">
        <v>37</v>
      </c>
    </row>
    <row r="846" spans="1:36" ht="103.5" thickBot="1" x14ac:dyDescent="0.3">
      <c r="A846" s="488"/>
      <c r="B846" s="486"/>
      <c r="C846" s="407"/>
      <c r="D846" s="572"/>
      <c r="E846" s="572"/>
      <c r="F846" s="541"/>
      <c r="G846" s="541"/>
      <c r="H846" s="407"/>
      <c r="I846" s="541"/>
      <c r="J846" s="121"/>
      <c r="K846" s="187">
        <v>1337</v>
      </c>
      <c r="L846" s="73" t="s">
        <v>7332</v>
      </c>
      <c r="M846" s="942">
        <v>1758708.3765</v>
      </c>
      <c r="N846" s="914">
        <v>5436107.7247000001</v>
      </c>
      <c r="O846" s="72" t="s">
        <v>41</v>
      </c>
      <c r="P846" s="732" t="s">
        <v>2146</v>
      </c>
      <c r="Q846" s="73" t="s">
        <v>2156</v>
      </c>
      <c r="R846" s="74" t="s">
        <v>2156</v>
      </c>
      <c r="S846" s="766" t="s">
        <v>47</v>
      </c>
      <c r="T846" s="329" t="s">
        <v>7333</v>
      </c>
      <c r="U846" s="86"/>
      <c r="V846" s="86">
        <v>293</v>
      </c>
      <c r="W846" s="86">
        <v>427</v>
      </c>
      <c r="X846" s="86"/>
      <c r="Y846" s="86"/>
      <c r="Z846" s="86"/>
      <c r="AA846" s="86" t="s">
        <v>85</v>
      </c>
      <c r="AB846" s="86" t="s">
        <v>85</v>
      </c>
      <c r="AC846" s="86">
        <v>3</v>
      </c>
      <c r="AD846" s="92" t="s">
        <v>7402</v>
      </c>
      <c r="AE846" s="92" t="s">
        <v>7330</v>
      </c>
      <c r="AF846" s="92" t="s">
        <v>1380</v>
      </c>
      <c r="AG846" s="743">
        <v>44306</v>
      </c>
      <c r="AH846" s="92"/>
      <c r="AI846" s="743">
        <v>44348</v>
      </c>
      <c r="AJ846" s="1133" t="s">
        <v>37</v>
      </c>
    </row>
    <row r="847" spans="1:36" ht="90.75" thickBot="1" x14ac:dyDescent="0.3">
      <c r="A847" s="489"/>
      <c r="B847" s="133"/>
      <c r="C847" s="78"/>
      <c r="D847" s="569"/>
      <c r="E847" s="569"/>
      <c r="F847" s="119"/>
      <c r="G847" s="119"/>
      <c r="H847" s="78"/>
      <c r="I847" s="119"/>
      <c r="J847" s="429"/>
      <c r="K847" s="192"/>
      <c r="L847" s="79"/>
      <c r="M847" s="944"/>
      <c r="N847" s="916"/>
      <c r="O847" s="78"/>
      <c r="P847" s="78"/>
      <c r="Q847" s="79"/>
      <c r="R847" s="80"/>
      <c r="S847" s="766" t="s">
        <v>7265</v>
      </c>
      <c r="T847" s="329" t="s">
        <v>7334</v>
      </c>
      <c r="U847" s="86"/>
      <c r="V847" s="86">
        <v>3152</v>
      </c>
      <c r="W847" s="86">
        <v>3341</v>
      </c>
      <c r="X847" s="86"/>
      <c r="Y847" s="86"/>
      <c r="Z847" s="86"/>
      <c r="AA847" s="86" t="s">
        <v>85</v>
      </c>
      <c r="AB847" s="86" t="s">
        <v>16</v>
      </c>
      <c r="AC847" s="86">
        <v>3</v>
      </c>
      <c r="AD847" s="92" t="s">
        <v>7403</v>
      </c>
      <c r="AE847" s="92" t="s">
        <v>7330</v>
      </c>
      <c r="AF847" s="92" t="s">
        <v>1380</v>
      </c>
      <c r="AG847" s="743">
        <v>44306</v>
      </c>
      <c r="AH847" s="92"/>
      <c r="AI847" s="743">
        <v>44348</v>
      </c>
      <c r="AJ847" s="1133" t="s">
        <v>37</v>
      </c>
    </row>
    <row r="848" spans="1:36" ht="102.75" x14ac:dyDescent="0.25">
      <c r="A848" s="524" t="s">
        <v>50</v>
      </c>
      <c r="B848" s="81" t="s">
        <v>6832</v>
      </c>
      <c r="C848" s="26">
        <v>285</v>
      </c>
      <c r="D848" s="594" t="s">
        <v>53</v>
      </c>
      <c r="E848" s="594" t="s">
        <v>57</v>
      </c>
      <c r="F848" s="491"/>
      <c r="G848" s="491"/>
      <c r="H848" s="26"/>
      <c r="I848" s="491"/>
      <c r="J848" s="29"/>
      <c r="K848" s="490">
        <v>1083</v>
      </c>
      <c r="L848" s="58" t="s">
        <v>7335</v>
      </c>
      <c r="M848" s="932">
        <v>1777547.6686</v>
      </c>
      <c r="N848" s="932">
        <v>5448636.3147999998</v>
      </c>
      <c r="O848" s="26" t="s">
        <v>41</v>
      </c>
      <c r="P848" s="26">
        <v>2</v>
      </c>
      <c r="Q848" s="58" t="s">
        <v>2156</v>
      </c>
      <c r="R848" s="59" t="s">
        <v>2156</v>
      </c>
      <c r="S848" s="656" t="s">
        <v>47</v>
      </c>
      <c r="T848" s="340" t="s">
        <v>7336</v>
      </c>
      <c r="U848" s="31"/>
      <c r="V848" s="31">
        <v>151</v>
      </c>
      <c r="W848" s="31">
        <v>311</v>
      </c>
      <c r="X848" s="31">
        <v>110</v>
      </c>
      <c r="Y848" s="31"/>
      <c r="Z848" s="31"/>
      <c r="AA848" s="31" t="s">
        <v>85</v>
      </c>
      <c r="AB848" s="31" t="s">
        <v>16</v>
      </c>
      <c r="AC848" s="31">
        <v>3</v>
      </c>
      <c r="AD848" s="40" t="s">
        <v>7546</v>
      </c>
      <c r="AE848" s="40" t="s">
        <v>7545</v>
      </c>
      <c r="AF848" s="40" t="s">
        <v>1380</v>
      </c>
      <c r="AG848" s="744">
        <v>44222</v>
      </c>
      <c r="AH848" s="40"/>
      <c r="AI848" s="744">
        <v>44348</v>
      </c>
      <c r="AJ848" s="1135" t="s">
        <v>37</v>
      </c>
    </row>
    <row r="849" spans="1:36" ht="78" thickBot="1" x14ac:dyDescent="0.3">
      <c r="A849" s="736"/>
      <c r="B849" s="516"/>
      <c r="C849" s="27"/>
      <c r="D849" s="570"/>
      <c r="E849" s="570"/>
      <c r="F849" s="502"/>
      <c r="G849" s="502"/>
      <c r="H849" s="27"/>
      <c r="I849" s="502"/>
      <c r="J849" s="639"/>
      <c r="K849" s="503"/>
      <c r="L849" s="62"/>
      <c r="M849" s="923"/>
      <c r="N849" s="923"/>
      <c r="O849" s="28"/>
      <c r="P849" s="28"/>
      <c r="Q849" s="62"/>
      <c r="R849" s="63"/>
      <c r="S849" s="657" t="s">
        <v>91</v>
      </c>
      <c r="T849" s="335" t="s">
        <v>7404</v>
      </c>
      <c r="U849" s="25"/>
      <c r="V849" s="25"/>
      <c r="W849" s="25"/>
      <c r="X849" s="25"/>
      <c r="Y849" s="25">
        <v>676</v>
      </c>
      <c r="Z849" s="25">
        <v>773</v>
      </c>
      <c r="AA849" s="25" t="s">
        <v>85</v>
      </c>
      <c r="AB849" s="25" t="s">
        <v>16</v>
      </c>
      <c r="AC849" s="25">
        <v>3</v>
      </c>
      <c r="AD849" s="52" t="s">
        <v>7547</v>
      </c>
      <c r="AE849" s="52" t="s">
        <v>7545</v>
      </c>
      <c r="AF849" s="52" t="s">
        <v>1380</v>
      </c>
      <c r="AG849" s="745">
        <v>44222</v>
      </c>
      <c r="AH849" s="52"/>
      <c r="AI849" s="745">
        <v>44348</v>
      </c>
      <c r="AJ849" s="1132" t="s">
        <v>37</v>
      </c>
    </row>
    <row r="850" spans="1:36" ht="65.25" thickBot="1" x14ac:dyDescent="0.3">
      <c r="A850" s="736"/>
      <c r="B850" s="516"/>
      <c r="C850" s="27"/>
      <c r="D850" s="570"/>
      <c r="E850" s="570"/>
      <c r="F850" s="502"/>
      <c r="G850" s="502"/>
      <c r="H850" s="27"/>
      <c r="I850" s="502"/>
      <c r="J850" s="639"/>
      <c r="K850" s="501">
        <v>1084</v>
      </c>
      <c r="L850" s="60" t="s">
        <v>7337</v>
      </c>
      <c r="M850" s="933">
        <v>1777621.2375</v>
      </c>
      <c r="N850" s="933">
        <v>5448661.7499000002</v>
      </c>
      <c r="O850" s="27" t="s">
        <v>41</v>
      </c>
      <c r="P850" s="27">
        <v>1</v>
      </c>
      <c r="Q850" s="60" t="s">
        <v>2156</v>
      </c>
      <c r="R850" s="61" t="s">
        <v>2156</v>
      </c>
      <c r="S850" s="658" t="s">
        <v>92</v>
      </c>
      <c r="T850" s="337" t="s">
        <v>7726</v>
      </c>
      <c r="Y850" s="2">
        <v>1421</v>
      </c>
      <c r="Z850" s="2">
        <v>1695</v>
      </c>
      <c r="AA850" s="2" t="s">
        <v>85</v>
      </c>
      <c r="AB850" s="2" t="s">
        <v>16</v>
      </c>
      <c r="AC850" s="2">
        <v>3</v>
      </c>
      <c r="AD850" s="3" t="s">
        <v>7405</v>
      </c>
      <c r="AE850" s="3" t="s">
        <v>7545</v>
      </c>
      <c r="AF850" s="3" t="s">
        <v>1380</v>
      </c>
      <c r="AG850" s="747">
        <v>44222</v>
      </c>
      <c r="AI850" s="747">
        <v>44348</v>
      </c>
      <c r="AJ850" s="1131" t="s">
        <v>37</v>
      </c>
    </row>
    <row r="851" spans="1:36" ht="52.5" thickBot="1" x14ac:dyDescent="0.3">
      <c r="A851" s="736"/>
      <c r="B851" s="516"/>
      <c r="C851" s="27"/>
      <c r="D851" s="570"/>
      <c r="E851" s="570"/>
      <c r="F851" s="502"/>
      <c r="G851" s="502"/>
      <c r="H851" s="27"/>
      <c r="I851" s="502"/>
      <c r="J851" s="639"/>
      <c r="K851" s="263">
        <v>1236</v>
      </c>
      <c r="L851" s="467" t="s">
        <v>7338</v>
      </c>
      <c r="M851" s="918">
        <v>1777927.8092</v>
      </c>
      <c r="N851" s="918">
        <v>5448644.0609999998</v>
      </c>
      <c r="O851" s="210" t="s">
        <v>41</v>
      </c>
      <c r="P851" s="210">
        <v>1</v>
      </c>
      <c r="Q851" s="467" t="s">
        <v>2156</v>
      </c>
      <c r="R851" s="400" t="s">
        <v>2156</v>
      </c>
      <c r="S851" s="683" t="s">
        <v>99</v>
      </c>
      <c r="T851" s="329" t="s">
        <v>7339</v>
      </c>
      <c r="U851" s="86">
        <v>4500</v>
      </c>
      <c r="V851" s="86">
        <v>4100</v>
      </c>
      <c r="W851" s="86">
        <v>4900</v>
      </c>
      <c r="X851" s="86"/>
      <c r="Y851" s="86"/>
      <c r="Z851" s="86"/>
      <c r="AA851" s="86" t="s">
        <v>85</v>
      </c>
      <c r="AB851" s="86" t="s">
        <v>16</v>
      </c>
      <c r="AC851" s="86">
        <v>3</v>
      </c>
      <c r="AD851" s="92" t="s">
        <v>7406</v>
      </c>
      <c r="AE851" s="92" t="s">
        <v>7548</v>
      </c>
      <c r="AF851" s="92" t="s">
        <v>1380</v>
      </c>
      <c r="AG851" s="743">
        <v>44222</v>
      </c>
      <c r="AH851" s="92"/>
      <c r="AI851" s="743">
        <v>44348</v>
      </c>
      <c r="AJ851" s="1133" t="s">
        <v>37</v>
      </c>
    </row>
    <row r="852" spans="1:36" ht="90.75" thickBot="1" x14ac:dyDescent="0.3">
      <c r="A852" s="736"/>
      <c r="B852" s="516"/>
      <c r="C852" s="27"/>
      <c r="D852" s="570"/>
      <c r="E852" s="570"/>
      <c r="F852" s="502"/>
      <c r="G852" s="502"/>
      <c r="H852" s="27"/>
      <c r="I852" s="502"/>
      <c r="J852" s="639"/>
      <c r="K852" s="490">
        <v>1074</v>
      </c>
      <c r="L852" s="58" t="s">
        <v>7340</v>
      </c>
      <c r="M852" s="932">
        <v>1777572.5593999999</v>
      </c>
      <c r="N852" s="932">
        <v>5448608.4650999997</v>
      </c>
      <c r="O852" s="26" t="s">
        <v>41</v>
      </c>
      <c r="P852" s="26">
        <v>1</v>
      </c>
      <c r="Q852" s="58" t="s">
        <v>2156</v>
      </c>
      <c r="R852" s="59" t="s">
        <v>2156</v>
      </c>
      <c r="S852" s="683" t="s">
        <v>47</v>
      </c>
      <c r="T852" s="329" t="s">
        <v>7341</v>
      </c>
      <c r="U852" s="86"/>
      <c r="V852" s="86">
        <v>310</v>
      </c>
      <c r="W852" s="86">
        <v>470</v>
      </c>
      <c r="X852" s="86"/>
      <c r="Y852" s="86"/>
      <c r="Z852" s="86"/>
      <c r="AA852" s="86" t="s">
        <v>85</v>
      </c>
      <c r="AB852" s="86" t="s">
        <v>16</v>
      </c>
      <c r="AC852" s="86">
        <v>3</v>
      </c>
      <c r="AD852" s="92" t="s">
        <v>7407</v>
      </c>
      <c r="AE852" s="92" t="s">
        <v>1782</v>
      </c>
      <c r="AF852" s="92" t="s">
        <v>1380</v>
      </c>
      <c r="AG852" s="743">
        <v>44222</v>
      </c>
      <c r="AH852" s="92"/>
      <c r="AI852" s="743">
        <v>44348</v>
      </c>
      <c r="AJ852" s="1133" t="s">
        <v>37</v>
      </c>
    </row>
    <row r="853" spans="1:36" ht="90.75" thickBot="1" x14ac:dyDescent="0.3">
      <c r="A853" s="736"/>
      <c r="B853" s="516"/>
      <c r="C853" s="27"/>
      <c r="D853" s="570"/>
      <c r="E853" s="570"/>
      <c r="F853" s="502"/>
      <c r="G853" s="502"/>
      <c r="H853" s="27"/>
      <c r="I853" s="502"/>
      <c r="J853" s="639"/>
      <c r="K853" s="490">
        <v>1075</v>
      </c>
      <c r="L853" s="58" t="s">
        <v>1768</v>
      </c>
      <c r="M853" s="983">
        <v>1781886.5796999999</v>
      </c>
      <c r="N853" s="932">
        <v>5450507.2101999996</v>
      </c>
      <c r="O853" s="26" t="s">
        <v>41</v>
      </c>
      <c r="P853" s="26">
        <v>2</v>
      </c>
      <c r="Q853" s="58" t="s">
        <v>2156</v>
      </c>
      <c r="R853" s="59" t="s">
        <v>2156</v>
      </c>
      <c r="S853" s="767" t="s">
        <v>91</v>
      </c>
      <c r="T853" s="340" t="s">
        <v>7342</v>
      </c>
      <c r="U853" s="31"/>
      <c r="V853" s="31">
        <v>770</v>
      </c>
      <c r="W853" s="31">
        <v>830</v>
      </c>
      <c r="X853" s="31"/>
      <c r="Y853" s="31">
        <v>670</v>
      </c>
      <c r="Z853" s="31">
        <v>730</v>
      </c>
      <c r="AA853" s="31" t="s">
        <v>85</v>
      </c>
      <c r="AB853" s="31" t="s">
        <v>16</v>
      </c>
      <c r="AC853" s="31">
        <v>3</v>
      </c>
      <c r="AD853" s="40" t="s">
        <v>7408</v>
      </c>
      <c r="AE853" s="40" t="s">
        <v>1782</v>
      </c>
      <c r="AF853" s="40" t="s">
        <v>1380</v>
      </c>
      <c r="AG853" s="744">
        <v>44222</v>
      </c>
      <c r="AH853" s="40"/>
      <c r="AI853" s="744">
        <v>44348</v>
      </c>
      <c r="AJ853" s="1135" t="s">
        <v>37</v>
      </c>
    </row>
    <row r="854" spans="1:36" ht="64.5" x14ac:dyDescent="0.25">
      <c r="A854" s="736"/>
      <c r="B854" s="516"/>
      <c r="C854" s="27"/>
      <c r="D854" s="570"/>
      <c r="E854" s="570"/>
      <c r="F854" s="502"/>
      <c r="G854" s="502"/>
      <c r="H854" s="27"/>
      <c r="I854" s="502"/>
      <c r="J854" s="639"/>
      <c r="K854" s="490">
        <v>1331</v>
      </c>
      <c r="L854" s="58" t="s">
        <v>7343</v>
      </c>
      <c r="M854" s="983">
        <v>1783171.1842</v>
      </c>
      <c r="N854" s="932">
        <v>5450857.1328999996</v>
      </c>
      <c r="O854" s="26" t="s">
        <v>41</v>
      </c>
      <c r="P854" s="26">
        <v>9</v>
      </c>
      <c r="Q854" s="58" t="s">
        <v>2156</v>
      </c>
      <c r="R854" s="59" t="s">
        <v>2156</v>
      </c>
      <c r="S854" s="767" t="s">
        <v>47</v>
      </c>
      <c r="T854" s="340" t="s">
        <v>7344</v>
      </c>
      <c r="U854" s="31"/>
      <c r="V854" s="31">
        <v>555</v>
      </c>
      <c r="W854" s="31">
        <v>649</v>
      </c>
      <c r="X854" s="31"/>
      <c r="Y854" s="31"/>
      <c r="Z854" s="31"/>
      <c r="AA854" s="31" t="s">
        <v>85</v>
      </c>
      <c r="AB854" s="31" t="s">
        <v>16</v>
      </c>
      <c r="AC854" s="31">
        <v>3</v>
      </c>
      <c r="AD854" s="40" t="s">
        <v>7423</v>
      </c>
      <c r="AE854" s="40" t="s">
        <v>7409</v>
      </c>
      <c r="AF854" s="40" t="s">
        <v>1380</v>
      </c>
      <c r="AG854" s="744">
        <v>44271</v>
      </c>
      <c r="AH854" s="40"/>
      <c r="AI854" s="744">
        <v>44348</v>
      </c>
      <c r="AJ854" s="1135" t="s">
        <v>37</v>
      </c>
    </row>
    <row r="855" spans="1:36" ht="77.25" x14ac:dyDescent="0.25">
      <c r="A855" s="736"/>
      <c r="B855" s="516"/>
      <c r="C855" s="27"/>
      <c r="D855" s="570"/>
      <c r="E855" s="570"/>
      <c r="F855" s="502"/>
      <c r="G855" s="502"/>
      <c r="H855" s="27"/>
      <c r="I855" s="502"/>
      <c r="J855" s="639"/>
      <c r="K855" s="501"/>
      <c r="L855" s="60"/>
      <c r="M855" s="984"/>
      <c r="N855" s="933"/>
      <c r="O855" s="27"/>
      <c r="P855" s="27"/>
      <c r="Q855" s="60"/>
      <c r="R855" s="61"/>
      <c r="S855" s="762" t="s">
        <v>91</v>
      </c>
      <c r="T855" s="179" t="s">
        <v>7345</v>
      </c>
      <c r="U855" s="24"/>
      <c r="V855" s="24">
        <v>731</v>
      </c>
      <c r="W855" s="24">
        <v>896</v>
      </c>
      <c r="X855" s="24"/>
      <c r="Y855" s="24">
        <v>555</v>
      </c>
      <c r="Z855" s="24">
        <v>649</v>
      </c>
      <c r="AA855" s="24" t="s">
        <v>16</v>
      </c>
      <c r="AB855" s="24" t="s">
        <v>10</v>
      </c>
      <c r="AC855" s="24">
        <v>2</v>
      </c>
      <c r="AD855" s="46" t="s">
        <v>7550</v>
      </c>
      <c r="AE855" s="46" t="s">
        <v>7409</v>
      </c>
      <c r="AF855" s="46" t="s">
        <v>1380</v>
      </c>
      <c r="AG855" s="746">
        <v>44271</v>
      </c>
      <c r="AH855" s="46"/>
      <c r="AI855" s="746">
        <v>44348</v>
      </c>
      <c r="AJ855" s="1131" t="s">
        <v>37</v>
      </c>
    </row>
    <row r="856" spans="1:36" ht="39" x14ac:dyDescent="0.25">
      <c r="A856" s="736"/>
      <c r="B856" s="516"/>
      <c r="C856" s="27"/>
      <c r="D856" s="570"/>
      <c r="E856" s="570"/>
      <c r="F856" s="502"/>
      <c r="G856" s="502"/>
      <c r="H856" s="27"/>
      <c r="I856" s="502"/>
      <c r="J856" s="639"/>
      <c r="K856" s="501"/>
      <c r="L856" s="60"/>
      <c r="M856" s="984"/>
      <c r="N856" s="933"/>
      <c r="O856" s="27"/>
      <c r="P856" s="27"/>
      <c r="Q856" s="60"/>
      <c r="R856" s="61"/>
      <c r="S856" s="762" t="s">
        <v>92</v>
      </c>
      <c r="T856" s="179" t="s">
        <v>7346</v>
      </c>
      <c r="U856" s="24"/>
      <c r="V856" s="24">
        <v>7290</v>
      </c>
      <c r="W856" s="24">
        <v>8380</v>
      </c>
      <c r="X856" s="24"/>
      <c r="Y856" s="24">
        <v>555</v>
      </c>
      <c r="Z856" s="24">
        <v>896</v>
      </c>
      <c r="AA856" s="24" t="s">
        <v>85</v>
      </c>
      <c r="AB856" s="24" t="s">
        <v>85</v>
      </c>
      <c r="AC856" s="24">
        <v>3</v>
      </c>
      <c r="AD856" s="46" t="s">
        <v>7424</v>
      </c>
      <c r="AE856" s="46" t="s">
        <v>7409</v>
      </c>
      <c r="AF856" s="46" t="s">
        <v>1380</v>
      </c>
      <c r="AG856" s="746">
        <v>44271</v>
      </c>
      <c r="AH856" s="46"/>
      <c r="AI856" s="746">
        <v>44348</v>
      </c>
      <c r="AJ856" s="1131" t="s">
        <v>37</v>
      </c>
    </row>
    <row r="857" spans="1:36" ht="77.25" x14ac:dyDescent="0.25">
      <c r="A857" s="736"/>
      <c r="B857" s="516"/>
      <c r="C857" s="27"/>
      <c r="D857" s="570"/>
      <c r="E857" s="570"/>
      <c r="F857" s="502"/>
      <c r="G857" s="502"/>
      <c r="H857" s="27"/>
      <c r="I857" s="502"/>
      <c r="J857" s="639"/>
      <c r="K857" s="501"/>
      <c r="L857" s="60"/>
      <c r="M857" s="984"/>
      <c r="N857" s="933"/>
      <c r="O857" s="27"/>
      <c r="P857" s="27"/>
      <c r="Q857" s="60"/>
      <c r="R857" s="61"/>
      <c r="S857" s="762" t="s">
        <v>99</v>
      </c>
      <c r="T857" s="179" t="s">
        <v>7347</v>
      </c>
      <c r="U857" s="24"/>
      <c r="V857" s="24">
        <v>8200</v>
      </c>
      <c r="W857" s="24">
        <v>8381</v>
      </c>
      <c r="X857" s="24"/>
      <c r="Y857" s="24">
        <v>7291</v>
      </c>
      <c r="Z857" s="24">
        <v>7431</v>
      </c>
      <c r="AA857" s="24" t="s">
        <v>16</v>
      </c>
      <c r="AB857" s="24" t="s">
        <v>10</v>
      </c>
      <c r="AC857" s="24">
        <v>2</v>
      </c>
      <c r="AD857" s="46" t="s">
        <v>7552</v>
      </c>
      <c r="AE857" s="46" t="s">
        <v>7409</v>
      </c>
      <c r="AF857" s="46" t="s">
        <v>1380</v>
      </c>
      <c r="AG857" s="746">
        <v>44271</v>
      </c>
      <c r="AH857" s="46"/>
      <c r="AI857" s="746">
        <v>44348</v>
      </c>
      <c r="AJ857" s="1131" t="s">
        <v>37</v>
      </c>
    </row>
    <row r="858" spans="1:36" ht="102.75" x14ac:dyDescent="0.25">
      <c r="A858" s="736"/>
      <c r="B858" s="516"/>
      <c r="C858" s="27"/>
      <c r="D858" s="570"/>
      <c r="E858" s="570"/>
      <c r="F858" s="502"/>
      <c r="G858" s="502"/>
      <c r="H858" s="27"/>
      <c r="I858" s="502"/>
      <c r="J858" s="639"/>
      <c r="K858" s="501"/>
      <c r="L858" s="60"/>
      <c r="M858" s="984"/>
      <c r="N858" s="933"/>
      <c r="O858" s="27"/>
      <c r="P858" s="27"/>
      <c r="Q858" s="60"/>
      <c r="R858" s="61"/>
      <c r="S858" s="762" t="s">
        <v>100</v>
      </c>
      <c r="T858" s="179" t="s">
        <v>7348</v>
      </c>
      <c r="U858" s="24"/>
      <c r="V858" s="24">
        <v>8647</v>
      </c>
      <c r="W858" s="24">
        <v>8965</v>
      </c>
      <c r="X858" s="24"/>
      <c r="Y858" s="24">
        <v>8392</v>
      </c>
      <c r="Z858" s="24">
        <v>8538</v>
      </c>
      <c r="AA858" s="24" t="s">
        <v>85</v>
      </c>
      <c r="AB858" s="24" t="s">
        <v>10</v>
      </c>
      <c r="AC858" s="24">
        <v>3</v>
      </c>
      <c r="AD858" s="46" t="s">
        <v>7553</v>
      </c>
      <c r="AE858" s="46" t="s">
        <v>7409</v>
      </c>
      <c r="AF858" s="46" t="s">
        <v>1380</v>
      </c>
      <c r="AG858" s="746">
        <v>44271</v>
      </c>
      <c r="AH858" s="46"/>
      <c r="AI858" s="746">
        <v>44348</v>
      </c>
      <c r="AJ858" s="1131" t="s">
        <v>37</v>
      </c>
    </row>
    <row r="859" spans="1:36" ht="77.25" x14ac:dyDescent="0.25">
      <c r="A859" s="736"/>
      <c r="B859" s="516"/>
      <c r="C859" s="27"/>
      <c r="D859" s="570"/>
      <c r="E859" s="570"/>
      <c r="F859" s="502"/>
      <c r="G859" s="502"/>
      <c r="H859" s="27"/>
      <c r="I859" s="502"/>
      <c r="J859" s="639"/>
      <c r="K859" s="501"/>
      <c r="L859" s="60"/>
      <c r="M859" s="984"/>
      <c r="N859" s="933"/>
      <c r="O859" s="27"/>
      <c r="P859" s="27"/>
      <c r="Q859" s="60"/>
      <c r="R859" s="61"/>
      <c r="S859" s="762" t="s">
        <v>101</v>
      </c>
      <c r="T859" s="179" t="s">
        <v>7349</v>
      </c>
      <c r="U859" s="24"/>
      <c r="V859" s="24">
        <v>11233</v>
      </c>
      <c r="W859" s="24">
        <v>11600</v>
      </c>
      <c r="X859" s="24"/>
      <c r="Y859" s="24">
        <v>8392</v>
      </c>
      <c r="Z859" s="24">
        <v>8538</v>
      </c>
      <c r="AA859" s="24" t="s">
        <v>85</v>
      </c>
      <c r="AB859" s="24" t="s">
        <v>10</v>
      </c>
      <c r="AC859" s="24">
        <v>3</v>
      </c>
      <c r="AD859" s="46" t="s">
        <v>7554</v>
      </c>
      <c r="AE859" s="46" t="s">
        <v>7409</v>
      </c>
      <c r="AF859" s="46" t="s">
        <v>1380</v>
      </c>
      <c r="AG859" s="746">
        <v>44271</v>
      </c>
      <c r="AH859" s="46"/>
      <c r="AI859" s="746">
        <v>44348</v>
      </c>
      <c r="AJ859" s="1131" t="s">
        <v>37</v>
      </c>
    </row>
    <row r="860" spans="1:36" ht="26.25" x14ac:dyDescent="0.25">
      <c r="A860" s="736"/>
      <c r="B860" s="516"/>
      <c r="C860" s="27"/>
      <c r="D860" s="570"/>
      <c r="E860" s="570"/>
      <c r="F860" s="502"/>
      <c r="G860" s="502"/>
      <c r="H860" s="27"/>
      <c r="I860" s="502"/>
      <c r="J860" s="639"/>
      <c r="K860" s="501"/>
      <c r="L860" s="60"/>
      <c r="M860" s="984"/>
      <c r="N860" s="933"/>
      <c r="O860" s="27"/>
      <c r="P860" s="27"/>
      <c r="Q860" s="60"/>
      <c r="R860" s="61"/>
      <c r="S860" s="762" t="s">
        <v>102</v>
      </c>
      <c r="T860" s="179" t="s">
        <v>7350</v>
      </c>
      <c r="U860" s="24"/>
      <c r="V860" s="24">
        <v>11233</v>
      </c>
      <c r="W860" s="24">
        <v>11600</v>
      </c>
      <c r="X860" s="24"/>
      <c r="Y860" s="24">
        <v>8647</v>
      </c>
      <c r="Z860" s="24">
        <v>8965</v>
      </c>
      <c r="AA860" s="24" t="s">
        <v>85</v>
      </c>
      <c r="AB860" s="24" t="s">
        <v>10</v>
      </c>
      <c r="AC860" s="24">
        <v>3</v>
      </c>
      <c r="AD860" s="46" t="s">
        <v>7425</v>
      </c>
      <c r="AE860" s="46" t="s">
        <v>7409</v>
      </c>
      <c r="AF860" s="46" t="s">
        <v>1380</v>
      </c>
      <c r="AG860" s="746">
        <v>44271</v>
      </c>
      <c r="AH860" s="46"/>
      <c r="AI860" s="746">
        <v>44348</v>
      </c>
      <c r="AJ860" s="1131" t="s">
        <v>37</v>
      </c>
    </row>
    <row r="861" spans="1:36" ht="51.75" x14ac:dyDescent="0.25">
      <c r="A861" s="736"/>
      <c r="B861" s="516"/>
      <c r="C861" s="27"/>
      <c r="D861" s="570"/>
      <c r="E861" s="570"/>
      <c r="F861" s="502"/>
      <c r="G861" s="502"/>
      <c r="H861" s="27"/>
      <c r="I861" s="502"/>
      <c r="J861" s="639"/>
      <c r="K861" s="501"/>
      <c r="L861" s="60"/>
      <c r="M861" s="984"/>
      <c r="N861" s="933"/>
      <c r="O861" s="27"/>
      <c r="P861" s="27"/>
      <c r="Q861" s="60"/>
      <c r="R861" s="61"/>
      <c r="S861" s="762" t="s">
        <v>103</v>
      </c>
      <c r="T861" s="179" t="s">
        <v>7350</v>
      </c>
      <c r="U861" s="24"/>
      <c r="V861" s="24">
        <v>11233</v>
      </c>
      <c r="W861" s="24">
        <v>11600</v>
      </c>
      <c r="X861" s="24"/>
      <c r="Y861" s="24">
        <v>8647</v>
      </c>
      <c r="Z861" s="24">
        <v>8965</v>
      </c>
      <c r="AA861" s="24" t="s">
        <v>85</v>
      </c>
      <c r="AB861" s="24" t="s">
        <v>16</v>
      </c>
      <c r="AC861" s="24">
        <v>3</v>
      </c>
      <c r="AD861" s="46" t="s">
        <v>7426</v>
      </c>
      <c r="AE861" s="46" t="s">
        <v>7409</v>
      </c>
      <c r="AF861" s="46" t="s">
        <v>1380</v>
      </c>
      <c r="AG861" s="746">
        <v>44271</v>
      </c>
      <c r="AH861" s="46"/>
      <c r="AI861" s="746">
        <v>44348</v>
      </c>
      <c r="AJ861" s="1131" t="s">
        <v>37</v>
      </c>
    </row>
    <row r="862" spans="1:36" ht="78" thickBot="1" x14ac:dyDescent="0.3">
      <c r="A862" s="736"/>
      <c r="B862" s="516"/>
      <c r="C862" s="27"/>
      <c r="D862" s="570"/>
      <c r="E862" s="570"/>
      <c r="F862" s="502"/>
      <c r="G862" s="502"/>
      <c r="H862" s="27"/>
      <c r="I862" s="502"/>
      <c r="J862" s="639"/>
      <c r="K862" s="503"/>
      <c r="L862" s="62"/>
      <c r="M862" s="985"/>
      <c r="N862" s="923"/>
      <c r="O862" s="28"/>
      <c r="P862" s="28"/>
      <c r="Q862" s="62"/>
      <c r="R862" s="63"/>
      <c r="S862" s="761" t="s">
        <v>104</v>
      </c>
      <c r="T862" s="335" t="s">
        <v>7351</v>
      </c>
      <c r="U862" s="25"/>
      <c r="V862" s="25"/>
      <c r="W862" s="25"/>
      <c r="X862" s="25"/>
      <c r="Y862" s="25">
        <v>11233</v>
      </c>
      <c r="Z862" s="25">
        <v>11600</v>
      </c>
      <c r="AA862" s="25" t="s">
        <v>85</v>
      </c>
      <c r="AB862" s="25" t="s">
        <v>16</v>
      </c>
      <c r="AC862" s="25">
        <v>3</v>
      </c>
      <c r="AD862" s="52" t="s">
        <v>7555</v>
      </c>
      <c r="AE862" s="52" t="s">
        <v>7409</v>
      </c>
      <c r="AF862" s="52" t="s">
        <v>1380</v>
      </c>
      <c r="AG862" s="745">
        <v>44271</v>
      </c>
      <c r="AH862" s="52"/>
      <c r="AI862" s="745">
        <v>44348</v>
      </c>
      <c r="AJ862" s="1132" t="s">
        <v>37</v>
      </c>
    </row>
    <row r="863" spans="1:36" ht="26.25" x14ac:dyDescent="0.25">
      <c r="A863" s="736"/>
      <c r="B863" s="516"/>
      <c r="C863" s="27"/>
      <c r="D863" s="570"/>
      <c r="E863" s="570"/>
      <c r="F863" s="502"/>
      <c r="G863" s="502"/>
      <c r="H863" s="27"/>
      <c r="I863" s="502"/>
      <c r="J863" s="639"/>
      <c r="K863" s="490">
        <v>1333</v>
      </c>
      <c r="L863" s="58" t="s">
        <v>7352</v>
      </c>
      <c r="M863" s="932">
        <v>1782976.8066</v>
      </c>
      <c r="N863" s="932">
        <v>5450816.2790000001</v>
      </c>
      <c r="O863" s="491" t="s">
        <v>41</v>
      </c>
      <c r="P863" s="26">
        <v>4</v>
      </c>
      <c r="Q863" s="58" t="s">
        <v>2156</v>
      </c>
      <c r="R863" s="59" t="s">
        <v>2156</v>
      </c>
      <c r="S863" s="768" t="s">
        <v>47</v>
      </c>
      <c r="T863" s="337" t="s">
        <v>7353</v>
      </c>
      <c r="V863" s="2">
        <v>2498</v>
      </c>
      <c r="W863" s="2">
        <v>3395</v>
      </c>
      <c r="AA863" s="2" t="s">
        <v>85</v>
      </c>
      <c r="AB863" s="2" t="s">
        <v>16</v>
      </c>
      <c r="AC863" s="2">
        <v>3</v>
      </c>
      <c r="AD863" s="3" t="s">
        <v>7427</v>
      </c>
      <c r="AE863" s="3" t="s">
        <v>7409</v>
      </c>
      <c r="AF863" s="3" t="s">
        <v>1380</v>
      </c>
      <c r="AG863" s="747">
        <v>44271</v>
      </c>
      <c r="AI863" s="747">
        <v>44348</v>
      </c>
      <c r="AJ863" s="1131" t="s">
        <v>37</v>
      </c>
    </row>
    <row r="864" spans="1:36" ht="77.25" x14ac:dyDescent="0.25">
      <c r="A864" s="736"/>
      <c r="B864" s="516"/>
      <c r="C864" s="27"/>
      <c r="D864" s="570"/>
      <c r="E864" s="570"/>
      <c r="F864" s="502"/>
      <c r="G864" s="502"/>
      <c r="H864" s="27"/>
      <c r="I864" s="502"/>
      <c r="J864" s="639"/>
      <c r="K864" s="501"/>
      <c r="L864" s="721"/>
      <c r="M864" s="980"/>
      <c r="N864" s="980"/>
      <c r="O864" s="515"/>
      <c r="P864" s="515"/>
      <c r="Q864" s="721"/>
      <c r="R864" s="61"/>
      <c r="S864" s="768" t="s">
        <v>91</v>
      </c>
      <c r="T864" s="337" t="s">
        <v>7353</v>
      </c>
      <c r="V864" s="2">
        <v>2498</v>
      </c>
      <c r="W864" s="2">
        <v>3395</v>
      </c>
      <c r="AA864" s="2" t="s">
        <v>85</v>
      </c>
      <c r="AB864" s="2" t="s">
        <v>85</v>
      </c>
      <c r="AC864" s="2">
        <v>3</v>
      </c>
      <c r="AD864" s="3" t="s">
        <v>7428</v>
      </c>
      <c r="AE864" s="3" t="s">
        <v>7409</v>
      </c>
      <c r="AF864" s="3" t="s">
        <v>1380</v>
      </c>
      <c r="AG864" s="747">
        <v>44271</v>
      </c>
      <c r="AI864" s="747">
        <v>44348</v>
      </c>
      <c r="AJ864" s="1131" t="s">
        <v>37</v>
      </c>
    </row>
    <row r="865" spans="1:36" ht="26.25" x14ac:dyDescent="0.25">
      <c r="A865" s="736"/>
      <c r="B865" s="516"/>
      <c r="C865" s="27"/>
      <c r="D865" s="570"/>
      <c r="E865" s="570"/>
      <c r="F865" s="502"/>
      <c r="G865" s="502"/>
      <c r="H865" s="27"/>
      <c r="I865" s="502"/>
      <c r="J865" s="639"/>
      <c r="K865" s="501"/>
      <c r="L865" s="721"/>
      <c r="M865" s="980"/>
      <c r="N865" s="980"/>
      <c r="O865" s="515"/>
      <c r="P865" s="515"/>
      <c r="Q865" s="721"/>
      <c r="R865" s="61"/>
      <c r="S865" s="768" t="s">
        <v>92</v>
      </c>
      <c r="T865" s="337" t="s">
        <v>7354</v>
      </c>
      <c r="V865" s="2">
        <v>2498</v>
      </c>
      <c r="W865" s="2">
        <v>3395</v>
      </c>
      <c r="AA865" s="2" t="s">
        <v>85</v>
      </c>
      <c r="AB865" s="2" t="s">
        <v>85</v>
      </c>
      <c r="AC865" s="2">
        <v>3</v>
      </c>
      <c r="AD865" s="3" t="s">
        <v>7355</v>
      </c>
      <c r="AE865" s="3" t="s">
        <v>7409</v>
      </c>
      <c r="AF865" s="3" t="s">
        <v>1380</v>
      </c>
      <c r="AG865" s="747">
        <v>44271</v>
      </c>
      <c r="AI865" s="747">
        <v>44348</v>
      </c>
      <c r="AJ865" s="1131" t="s">
        <v>37</v>
      </c>
    </row>
    <row r="866" spans="1:36" ht="78" thickBot="1" x14ac:dyDescent="0.3">
      <c r="A866" s="736"/>
      <c r="B866" s="516"/>
      <c r="C866" s="27"/>
      <c r="D866" s="570"/>
      <c r="E866" s="570"/>
      <c r="F866" s="502"/>
      <c r="G866" s="502"/>
      <c r="H866" s="27"/>
      <c r="I866" s="502"/>
      <c r="J866" s="639"/>
      <c r="K866" s="503"/>
      <c r="L866" s="62"/>
      <c r="M866" s="985"/>
      <c r="N866" s="923"/>
      <c r="O866" s="28"/>
      <c r="P866" s="28"/>
      <c r="Q866" s="62"/>
      <c r="R866" s="63"/>
      <c r="S866" s="764" t="s">
        <v>99</v>
      </c>
      <c r="T866" s="335" t="s">
        <v>7356</v>
      </c>
      <c r="U866" s="25"/>
      <c r="V866" s="25">
        <v>3924</v>
      </c>
      <c r="W866" s="25">
        <v>4227</v>
      </c>
      <c r="X866" s="25"/>
      <c r="Y866" s="25">
        <v>2498</v>
      </c>
      <c r="Z866" s="25">
        <v>3395</v>
      </c>
      <c r="AA866" s="25" t="s">
        <v>16</v>
      </c>
      <c r="AB866" s="25" t="s">
        <v>16</v>
      </c>
      <c r="AC866" s="25">
        <v>2</v>
      </c>
      <c r="AD866" s="52" t="s">
        <v>7429</v>
      </c>
      <c r="AE866" s="52" t="s">
        <v>7409</v>
      </c>
      <c r="AF866" s="52" t="s">
        <v>1380</v>
      </c>
      <c r="AG866" s="745">
        <v>44271</v>
      </c>
      <c r="AH866" s="52"/>
      <c r="AI866" s="745">
        <v>44348</v>
      </c>
      <c r="AJ866" s="1132" t="s">
        <v>37</v>
      </c>
    </row>
    <row r="867" spans="1:36" ht="64.5" x14ac:dyDescent="0.25">
      <c r="A867" s="736"/>
      <c r="B867" s="516"/>
      <c r="C867" s="27"/>
      <c r="D867" s="570"/>
      <c r="E867" s="570"/>
      <c r="F867" s="502"/>
      <c r="G867" s="502"/>
      <c r="H867" s="27"/>
      <c r="I867" s="502"/>
      <c r="J867" s="639"/>
      <c r="K867" s="490" t="s">
        <v>2156</v>
      </c>
      <c r="L867" s="58" t="s">
        <v>7357</v>
      </c>
      <c r="M867" s="983" t="s">
        <v>2156</v>
      </c>
      <c r="N867" s="932" t="s">
        <v>2156</v>
      </c>
      <c r="O867" s="491" t="s">
        <v>7358</v>
      </c>
      <c r="P867" s="26">
        <v>4</v>
      </c>
      <c r="Q867" s="58" t="s">
        <v>7359</v>
      </c>
      <c r="R867" s="59" t="s">
        <v>16</v>
      </c>
      <c r="S867" s="767" t="s">
        <v>47</v>
      </c>
      <c r="T867" s="340" t="s">
        <v>7360</v>
      </c>
      <c r="U867" s="31">
        <v>310</v>
      </c>
      <c r="V867" s="31"/>
      <c r="W867" s="31"/>
      <c r="X867" s="31">
        <v>110</v>
      </c>
      <c r="Y867" s="31"/>
      <c r="Z867" s="31"/>
      <c r="AA867" s="31" t="s">
        <v>10</v>
      </c>
      <c r="AB867" s="31" t="s">
        <v>10</v>
      </c>
      <c r="AC867" s="31">
        <v>1</v>
      </c>
      <c r="AD867" s="40" t="s">
        <v>7361</v>
      </c>
      <c r="AE867" s="40" t="s">
        <v>7409</v>
      </c>
      <c r="AF867" s="40" t="s">
        <v>1380</v>
      </c>
      <c r="AG867" s="744">
        <v>44271</v>
      </c>
      <c r="AH867" s="40"/>
      <c r="AI867" s="744">
        <v>44294</v>
      </c>
      <c r="AJ867" s="1135" t="s">
        <v>37</v>
      </c>
    </row>
    <row r="868" spans="1:36" ht="77.25" x14ac:dyDescent="0.25">
      <c r="A868" s="736"/>
      <c r="B868" s="516"/>
      <c r="C868" s="27"/>
      <c r="D868" s="570"/>
      <c r="E868" s="570"/>
      <c r="F868" s="502"/>
      <c r="G868" s="502"/>
      <c r="H868" s="27"/>
      <c r="I868" s="502"/>
      <c r="J868" s="639"/>
      <c r="K868" s="501"/>
      <c r="L868" s="60"/>
      <c r="M868" s="984"/>
      <c r="N868" s="933"/>
      <c r="O868" s="27"/>
      <c r="P868" s="27"/>
      <c r="Q868" s="60"/>
      <c r="R868" s="61"/>
      <c r="S868" s="762" t="s">
        <v>91</v>
      </c>
      <c r="T868" s="337" t="s">
        <v>7362</v>
      </c>
      <c r="U868" s="2">
        <v>895</v>
      </c>
      <c r="V868" s="2">
        <v>731</v>
      </c>
      <c r="W868" s="2">
        <v>896</v>
      </c>
      <c r="X868" s="2">
        <v>790</v>
      </c>
      <c r="Y868" s="2">
        <v>788</v>
      </c>
      <c r="Z868" s="2">
        <v>928</v>
      </c>
      <c r="AA868" s="2" t="s">
        <v>10</v>
      </c>
      <c r="AB868" s="2" t="s">
        <v>10</v>
      </c>
      <c r="AC868" s="2">
        <v>1</v>
      </c>
      <c r="AD868" s="3" t="s">
        <v>7363</v>
      </c>
      <c r="AE868" s="3" t="s">
        <v>7409</v>
      </c>
      <c r="AF868" s="3" t="s">
        <v>1380</v>
      </c>
      <c r="AG868" s="747">
        <v>44271</v>
      </c>
      <c r="AI868" s="747">
        <v>44294</v>
      </c>
      <c r="AJ868" s="1131" t="s">
        <v>37</v>
      </c>
    </row>
    <row r="869" spans="1:36" ht="51.75" x14ac:dyDescent="0.25">
      <c r="A869" s="736"/>
      <c r="B869" s="516"/>
      <c r="C869" s="27"/>
      <c r="D869" s="570"/>
      <c r="E869" s="570"/>
      <c r="F869" s="502"/>
      <c r="G869" s="502"/>
      <c r="H869" s="27"/>
      <c r="I869" s="502"/>
      <c r="J869" s="639"/>
      <c r="K869" s="501"/>
      <c r="L869" s="60"/>
      <c r="M869" s="984"/>
      <c r="N869" s="933"/>
      <c r="O869" s="27"/>
      <c r="P869" s="27"/>
      <c r="Q869" s="60"/>
      <c r="R869" s="61"/>
      <c r="S869" s="762" t="s">
        <v>92</v>
      </c>
      <c r="T869" s="337" t="s">
        <v>7364</v>
      </c>
      <c r="U869" s="2">
        <v>2340</v>
      </c>
      <c r="V869" s="2">
        <v>2131</v>
      </c>
      <c r="W869" s="2">
        <v>2338</v>
      </c>
      <c r="X869" s="2">
        <v>1835</v>
      </c>
      <c r="Y869" s="2">
        <v>1833</v>
      </c>
      <c r="Z869" s="2">
        <v>1996</v>
      </c>
      <c r="AA869" s="2" t="s">
        <v>16</v>
      </c>
      <c r="AB869" s="2" t="s">
        <v>10</v>
      </c>
      <c r="AC869" s="2">
        <v>2</v>
      </c>
      <c r="AD869" s="3" t="s">
        <v>7365</v>
      </c>
      <c r="AE869" s="3" t="s">
        <v>7409</v>
      </c>
      <c r="AF869" s="3" t="s">
        <v>1380</v>
      </c>
      <c r="AG869" s="747">
        <v>44271</v>
      </c>
      <c r="AI869" s="747">
        <v>44294</v>
      </c>
      <c r="AJ869" s="1131" t="s">
        <v>37</v>
      </c>
    </row>
    <row r="870" spans="1:36" ht="103.5" thickBot="1" x14ac:dyDescent="0.3">
      <c r="A870" s="736"/>
      <c r="B870" s="516"/>
      <c r="C870" s="27"/>
      <c r="D870" s="570"/>
      <c r="E870" s="570"/>
      <c r="F870" s="502"/>
      <c r="G870" s="502"/>
      <c r="H870" s="27"/>
      <c r="I870" s="502"/>
      <c r="J870" s="639"/>
      <c r="K870" s="503"/>
      <c r="L870" s="62"/>
      <c r="M870" s="985"/>
      <c r="N870" s="923"/>
      <c r="O870" s="28"/>
      <c r="P870" s="28"/>
      <c r="Q870" s="62"/>
      <c r="R870" s="63"/>
      <c r="S870" s="762" t="s">
        <v>99</v>
      </c>
      <c r="T870" s="337" t="s">
        <v>7366</v>
      </c>
      <c r="U870" s="2">
        <v>4225</v>
      </c>
      <c r="V870" s="2">
        <v>3924</v>
      </c>
      <c r="W870" s="2">
        <v>4227</v>
      </c>
      <c r="X870" s="2">
        <v>2500</v>
      </c>
      <c r="Y870" s="2">
        <v>2498</v>
      </c>
      <c r="Z870" s="2">
        <v>3395</v>
      </c>
      <c r="AA870" s="2" t="s">
        <v>16</v>
      </c>
      <c r="AB870" s="2" t="s">
        <v>16</v>
      </c>
      <c r="AC870" s="2">
        <v>2</v>
      </c>
      <c r="AD870" s="3" t="s">
        <v>7367</v>
      </c>
      <c r="AE870" s="3" t="s">
        <v>7409</v>
      </c>
      <c r="AF870" s="3" t="s">
        <v>1380</v>
      </c>
      <c r="AG870" s="747">
        <v>44271</v>
      </c>
      <c r="AI870" s="747">
        <v>44294</v>
      </c>
      <c r="AJ870" s="1131" t="s">
        <v>37</v>
      </c>
    </row>
    <row r="871" spans="1:36" ht="77.25" x14ac:dyDescent="0.25">
      <c r="A871" s="736"/>
      <c r="B871" s="516"/>
      <c r="C871" s="27"/>
      <c r="D871" s="570"/>
      <c r="E871" s="570"/>
      <c r="F871" s="502"/>
      <c r="G871" s="502"/>
      <c r="H871" s="27"/>
      <c r="I871" s="502"/>
      <c r="J871" s="639"/>
      <c r="K871" s="490" t="s">
        <v>2156</v>
      </c>
      <c r="L871" s="58" t="s">
        <v>7368</v>
      </c>
      <c r="M871" s="932" t="s">
        <v>2156</v>
      </c>
      <c r="N871" s="932" t="s">
        <v>2156</v>
      </c>
      <c r="O871" s="26" t="s">
        <v>41</v>
      </c>
      <c r="P871" s="26" t="s">
        <v>7861</v>
      </c>
      <c r="Q871" s="58" t="s">
        <v>2156</v>
      </c>
      <c r="R871" s="59" t="s">
        <v>2156</v>
      </c>
      <c r="S871" s="656" t="s">
        <v>47</v>
      </c>
      <c r="T871" s="340" t="s">
        <v>7325</v>
      </c>
      <c r="U871" s="31">
        <v>450</v>
      </c>
      <c r="V871" s="31"/>
      <c r="W871" s="31"/>
      <c r="X871" s="31">
        <v>300</v>
      </c>
      <c r="Y871" s="31"/>
      <c r="Z871" s="31"/>
      <c r="AA871" s="31" t="s">
        <v>85</v>
      </c>
      <c r="AB871" s="31" t="s">
        <v>16</v>
      </c>
      <c r="AC871" s="31">
        <v>3</v>
      </c>
      <c r="AD871" s="40" t="s">
        <v>7369</v>
      </c>
      <c r="AE871" s="40" t="s">
        <v>1782</v>
      </c>
      <c r="AF871" s="40" t="s">
        <v>1380</v>
      </c>
      <c r="AG871" s="744">
        <v>44222</v>
      </c>
      <c r="AH871" s="40"/>
      <c r="AI871" s="744">
        <v>44222</v>
      </c>
      <c r="AJ871" s="1135" t="s">
        <v>37</v>
      </c>
    </row>
    <row r="872" spans="1:36" ht="77.25" x14ac:dyDescent="0.25">
      <c r="A872" s="736"/>
      <c r="B872" s="516"/>
      <c r="C872" s="27"/>
      <c r="D872" s="570"/>
      <c r="E872" s="570"/>
      <c r="F872" s="502"/>
      <c r="G872" s="502"/>
      <c r="H872" s="27"/>
      <c r="I872" s="502"/>
      <c r="J872" s="639"/>
      <c r="K872" s="501"/>
      <c r="L872" s="60"/>
      <c r="M872" s="933"/>
      <c r="N872" s="933"/>
      <c r="O872" s="27"/>
      <c r="P872" s="27"/>
      <c r="Q872" s="60"/>
      <c r="R872" s="61"/>
      <c r="S872" s="658" t="s">
        <v>91</v>
      </c>
      <c r="T872" s="337" t="s">
        <v>7342</v>
      </c>
      <c r="V872" s="2">
        <v>770</v>
      </c>
      <c r="W872" s="2">
        <v>830</v>
      </c>
      <c r="Y872" s="2">
        <v>670</v>
      </c>
      <c r="Z872" s="2">
        <v>730</v>
      </c>
      <c r="AA872" s="2" t="s">
        <v>85</v>
      </c>
      <c r="AB872" s="2" t="s">
        <v>16</v>
      </c>
      <c r="AC872" s="2">
        <v>3</v>
      </c>
      <c r="AD872" s="3" t="s">
        <v>7370</v>
      </c>
      <c r="AE872" s="3" t="s">
        <v>1782</v>
      </c>
      <c r="AF872" s="3" t="s">
        <v>1380</v>
      </c>
      <c r="AG872" s="747">
        <v>44222</v>
      </c>
      <c r="AI872" s="747">
        <v>44222</v>
      </c>
      <c r="AJ872" s="1131" t="s">
        <v>37</v>
      </c>
    </row>
    <row r="873" spans="1:36" ht="52.5" thickBot="1" x14ac:dyDescent="0.3">
      <c r="A873" s="736"/>
      <c r="B873" s="516"/>
      <c r="C873" s="27"/>
      <c r="D873" s="570"/>
      <c r="E873" s="570"/>
      <c r="F873" s="502"/>
      <c r="G873" s="502"/>
      <c r="H873" s="27"/>
      <c r="I873" s="502"/>
      <c r="J873" s="639"/>
      <c r="K873" s="503"/>
      <c r="L873" s="62"/>
      <c r="M873" s="923"/>
      <c r="N873" s="923"/>
      <c r="O873" s="28"/>
      <c r="P873" s="28"/>
      <c r="Q873" s="62"/>
      <c r="R873" s="63"/>
      <c r="S873" s="657" t="s">
        <v>7371</v>
      </c>
      <c r="T873" s="335" t="s">
        <v>7372</v>
      </c>
      <c r="U873" s="25">
        <v>3540</v>
      </c>
      <c r="V873" s="25"/>
      <c r="W873" s="25"/>
      <c r="X873" s="25">
        <v>3380</v>
      </c>
      <c r="Y873" s="25"/>
      <c r="Z873" s="25"/>
      <c r="AA873" s="25" t="s">
        <v>85</v>
      </c>
      <c r="AB873" s="25" t="s">
        <v>16</v>
      </c>
      <c r="AC873" s="25">
        <v>3</v>
      </c>
      <c r="AD873" s="52" t="s">
        <v>7373</v>
      </c>
      <c r="AE873" s="52" t="s">
        <v>1782</v>
      </c>
      <c r="AF873" s="52" t="s">
        <v>1380</v>
      </c>
      <c r="AG873" s="745">
        <v>44222</v>
      </c>
      <c r="AH873" s="52"/>
      <c r="AI873" s="745">
        <v>44222</v>
      </c>
      <c r="AJ873" s="1132" t="s">
        <v>37</v>
      </c>
    </row>
    <row r="874" spans="1:36" ht="141" x14ac:dyDescent="0.25">
      <c r="A874" s="736"/>
      <c r="B874" s="516"/>
      <c r="C874" s="27"/>
      <c r="D874" s="570"/>
      <c r="E874" s="570"/>
      <c r="F874" s="502"/>
      <c r="G874" s="502"/>
      <c r="H874" s="27"/>
      <c r="I874" s="502"/>
      <c r="J874" s="639"/>
      <c r="K874" s="490" t="s">
        <v>2156</v>
      </c>
      <c r="L874" s="58" t="s">
        <v>7374</v>
      </c>
      <c r="M874" s="932" t="s">
        <v>2156</v>
      </c>
      <c r="N874" s="932" t="s">
        <v>2156</v>
      </c>
      <c r="O874" s="26" t="s">
        <v>7375</v>
      </c>
      <c r="P874" s="26">
        <v>3</v>
      </c>
      <c r="Q874" s="58" t="s">
        <v>7376</v>
      </c>
      <c r="R874" s="59" t="s">
        <v>85</v>
      </c>
      <c r="S874" s="656" t="s">
        <v>47</v>
      </c>
      <c r="T874" s="340" t="s">
        <v>7377</v>
      </c>
      <c r="U874" s="31">
        <v>310</v>
      </c>
      <c r="V874" s="31"/>
      <c r="W874" s="31"/>
      <c r="X874" s="31">
        <v>110</v>
      </c>
      <c r="Y874" s="31"/>
      <c r="Z874" s="31"/>
      <c r="AA874" s="31" t="s">
        <v>85</v>
      </c>
      <c r="AB874" s="31" t="s">
        <v>16</v>
      </c>
      <c r="AC874" s="769">
        <v>3</v>
      </c>
      <c r="AD874" s="40" t="s">
        <v>7378</v>
      </c>
      <c r="AE874" s="40" t="s">
        <v>7545</v>
      </c>
      <c r="AF874" s="40" t="s">
        <v>1380</v>
      </c>
      <c r="AG874" s="744">
        <v>44222</v>
      </c>
      <c r="AH874" s="40"/>
      <c r="AI874" s="744">
        <v>44222</v>
      </c>
      <c r="AJ874" s="1135" t="s">
        <v>37</v>
      </c>
    </row>
    <row r="875" spans="1:36" ht="179.25" x14ac:dyDescent="0.25">
      <c r="A875" s="736"/>
      <c r="B875" s="516"/>
      <c r="C875" s="27"/>
      <c r="D875" s="570"/>
      <c r="E875" s="570"/>
      <c r="F875" s="502"/>
      <c r="G875" s="502"/>
      <c r="H875" s="27"/>
      <c r="I875" s="502"/>
      <c r="J875" s="639"/>
      <c r="K875" s="501"/>
      <c r="L875" s="60"/>
      <c r="M875" s="933"/>
      <c r="N875" s="933"/>
      <c r="O875" s="27" t="s">
        <v>7379</v>
      </c>
      <c r="P875" s="27"/>
      <c r="Q875" s="60" t="s">
        <v>7380</v>
      </c>
      <c r="R875" s="61" t="s">
        <v>85</v>
      </c>
      <c r="S875" s="658" t="s">
        <v>91</v>
      </c>
      <c r="T875" s="337" t="s">
        <v>7316</v>
      </c>
      <c r="U875" s="2">
        <v>930</v>
      </c>
      <c r="Y875" s="2">
        <v>788</v>
      </c>
      <c r="Z875" s="2">
        <v>928</v>
      </c>
      <c r="AA875" s="2" t="s">
        <v>85</v>
      </c>
      <c r="AB875" s="2" t="s">
        <v>16</v>
      </c>
      <c r="AC875" s="2">
        <v>3</v>
      </c>
      <c r="AD875" s="3" t="s">
        <v>7381</v>
      </c>
      <c r="AE875" s="3" t="s">
        <v>7545</v>
      </c>
      <c r="AF875" s="3" t="s">
        <v>1380</v>
      </c>
      <c r="AG875" s="747">
        <v>44222</v>
      </c>
      <c r="AI875" s="747">
        <v>44222</v>
      </c>
      <c r="AJ875" s="1131" t="s">
        <v>37</v>
      </c>
    </row>
    <row r="876" spans="1:36" ht="179.25" x14ac:dyDescent="0.25">
      <c r="A876" s="736"/>
      <c r="B876" s="516"/>
      <c r="C876" s="27"/>
      <c r="D876" s="570"/>
      <c r="E876" s="570"/>
      <c r="F876" s="502"/>
      <c r="G876" s="502"/>
      <c r="H876" s="27"/>
      <c r="I876" s="502"/>
      <c r="J876" s="639"/>
      <c r="K876" s="501"/>
      <c r="L876" s="60"/>
      <c r="M876" s="933"/>
      <c r="N876" s="933"/>
      <c r="O876" s="27" t="s">
        <v>7382</v>
      </c>
      <c r="P876" s="27">
        <v>4</v>
      </c>
      <c r="Q876" s="60" t="s">
        <v>7383</v>
      </c>
      <c r="R876" s="61"/>
      <c r="S876" s="658" t="s">
        <v>92</v>
      </c>
      <c r="T876" s="337" t="s">
        <v>7317</v>
      </c>
      <c r="V876" s="2">
        <v>2131</v>
      </c>
      <c r="W876" s="2">
        <v>2338</v>
      </c>
      <c r="Y876" s="2">
        <v>1833</v>
      </c>
      <c r="Z876" s="2">
        <v>1996</v>
      </c>
      <c r="AA876" s="2" t="s">
        <v>16</v>
      </c>
      <c r="AB876" s="2" t="s">
        <v>10</v>
      </c>
      <c r="AC876" s="2">
        <v>2</v>
      </c>
      <c r="AD876" s="3" t="s">
        <v>7384</v>
      </c>
      <c r="AE876" s="3" t="s">
        <v>7545</v>
      </c>
      <c r="AF876" s="3" t="s">
        <v>1380</v>
      </c>
      <c r="AG876" s="747">
        <v>44222</v>
      </c>
      <c r="AI876" s="747">
        <v>44222</v>
      </c>
      <c r="AJ876" s="1131" t="s">
        <v>37</v>
      </c>
    </row>
    <row r="877" spans="1:36" ht="90.75" thickBot="1" x14ac:dyDescent="0.3">
      <c r="A877" s="736"/>
      <c r="B877" s="516"/>
      <c r="C877" s="27"/>
      <c r="D877" s="570"/>
      <c r="E877" s="570"/>
      <c r="F877" s="502"/>
      <c r="G877" s="502"/>
      <c r="H877" s="27"/>
      <c r="I877" s="502"/>
      <c r="J877" s="639"/>
      <c r="K877" s="503"/>
      <c r="L877" s="62"/>
      <c r="M877" s="923"/>
      <c r="N877" s="923"/>
      <c r="O877" s="28"/>
      <c r="P877" s="28"/>
      <c r="Q877" s="62"/>
      <c r="R877" s="63"/>
      <c r="S877" s="657" t="s">
        <v>99</v>
      </c>
      <c r="T877" s="335" t="s">
        <v>7385</v>
      </c>
      <c r="U877" s="25">
        <v>-2900</v>
      </c>
      <c r="V877" s="25"/>
      <c r="W877" s="25"/>
      <c r="X877" s="25"/>
      <c r="Y877" s="25">
        <v>2460</v>
      </c>
      <c r="Z877" s="25">
        <v>2740</v>
      </c>
      <c r="AA877" s="25" t="s">
        <v>16</v>
      </c>
      <c r="AB877" s="25" t="s">
        <v>16</v>
      </c>
      <c r="AC877" s="25">
        <v>2</v>
      </c>
      <c r="AD877" s="52" t="s">
        <v>7386</v>
      </c>
      <c r="AE877" s="52" t="s">
        <v>7545</v>
      </c>
      <c r="AF877" s="52" t="s">
        <v>1380</v>
      </c>
      <c r="AG877" s="745">
        <v>44222</v>
      </c>
      <c r="AH877" s="52"/>
      <c r="AI877" s="745">
        <v>44222</v>
      </c>
      <c r="AJ877" s="1132" t="s">
        <v>37</v>
      </c>
    </row>
    <row r="878" spans="1:36" ht="77.25" x14ac:dyDescent="0.25">
      <c r="A878" s="487" t="s">
        <v>1831</v>
      </c>
      <c r="B878" s="128" t="s">
        <v>6833</v>
      </c>
      <c r="C878" s="72">
        <v>275</v>
      </c>
      <c r="D878" s="586" t="s">
        <v>53</v>
      </c>
      <c r="E878" s="586" t="s">
        <v>52</v>
      </c>
      <c r="F878" s="129"/>
      <c r="G878" s="129"/>
      <c r="H878" s="72"/>
      <c r="I878" s="129"/>
      <c r="J878" s="381"/>
      <c r="K878" s="187">
        <v>1035</v>
      </c>
      <c r="L878" s="73" t="s">
        <v>7243</v>
      </c>
      <c r="M878" s="942">
        <v>1828813.1438</v>
      </c>
      <c r="N878" s="914">
        <v>5516245.6327</v>
      </c>
      <c r="O878" s="72" t="s">
        <v>41</v>
      </c>
      <c r="P878" s="140" t="s">
        <v>1316</v>
      </c>
      <c r="Q878" s="73" t="s">
        <v>2156</v>
      </c>
      <c r="R878" s="74" t="s">
        <v>2156</v>
      </c>
      <c r="S878" s="656" t="s">
        <v>47</v>
      </c>
      <c r="T878" s="340" t="s">
        <v>7244</v>
      </c>
      <c r="U878" s="31"/>
      <c r="V878" s="31">
        <v>790</v>
      </c>
      <c r="W878" s="31">
        <v>1070</v>
      </c>
      <c r="X878" s="31"/>
      <c r="Y878" s="31"/>
      <c r="Z878" s="31"/>
      <c r="AA878" s="31" t="s">
        <v>85</v>
      </c>
      <c r="AB878" s="2" t="s">
        <v>10</v>
      </c>
      <c r="AC878" s="31">
        <v>3</v>
      </c>
      <c r="AD878" s="40" t="s">
        <v>7410</v>
      </c>
      <c r="AE878" s="40" t="s">
        <v>7556</v>
      </c>
      <c r="AF878" s="40" t="s">
        <v>1380</v>
      </c>
      <c r="AG878" s="744">
        <v>44218</v>
      </c>
      <c r="AH878" s="40"/>
      <c r="AI878" s="744">
        <v>44348</v>
      </c>
      <c r="AJ878" s="1135" t="s">
        <v>37</v>
      </c>
    </row>
    <row r="879" spans="1:36" ht="77.25" x14ac:dyDescent="0.25">
      <c r="A879" s="488"/>
      <c r="B879" s="131"/>
      <c r="C879" s="75"/>
      <c r="D879" s="568"/>
      <c r="E879" s="568"/>
      <c r="F879" s="118"/>
      <c r="G879" s="118"/>
      <c r="H879" s="75"/>
      <c r="I879" s="118"/>
      <c r="J879" s="121"/>
      <c r="K879" s="188"/>
      <c r="L879" s="76"/>
      <c r="M879" s="915"/>
      <c r="N879" s="915"/>
      <c r="O879" s="75"/>
      <c r="P879" s="75"/>
      <c r="Q879" s="76"/>
      <c r="R879" s="77"/>
      <c r="S879" s="658" t="s">
        <v>91</v>
      </c>
      <c r="T879" s="337" t="s">
        <v>7245</v>
      </c>
      <c r="U879" s="2">
        <v>1070</v>
      </c>
      <c r="X879" s="2">
        <v>790</v>
      </c>
      <c r="AA879" s="2" t="s">
        <v>85</v>
      </c>
      <c r="AB879" s="2" t="s">
        <v>16</v>
      </c>
      <c r="AC879" s="148" t="s">
        <v>1625</v>
      </c>
      <c r="AD879" s="3" t="s">
        <v>7411</v>
      </c>
      <c r="AE879" s="3" t="s">
        <v>7556</v>
      </c>
      <c r="AF879" s="3" t="s">
        <v>1380</v>
      </c>
      <c r="AG879" s="747">
        <v>44218</v>
      </c>
      <c r="AI879" s="747">
        <v>44348</v>
      </c>
      <c r="AJ879" s="1131" t="s">
        <v>37</v>
      </c>
    </row>
    <row r="880" spans="1:36" ht="78" thickBot="1" x14ac:dyDescent="0.3">
      <c r="A880" s="488"/>
      <c r="B880" s="131"/>
      <c r="C880" s="75"/>
      <c r="D880" s="568"/>
      <c r="E880" s="568"/>
      <c r="F880" s="118"/>
      <c r="G880" s="118"/>
      <c r="H880" s="75"/>
      <c r="I880" s="118"/>
      <c r="J880" s="121"/>
      <c r="K880" s="192"/>
      <c r="L880" s="79"/>
      <c r="M880" s="916"/>
      <c r="N880" s="916"/>
      <c r="O880" s="78"/>
      <c r="P880" s="78"/>
      <c r="Q880" s="79"/>
      <c r="R880" s="80"/>
      <c r="S880" s="657" t="s">
        <v>7246</v>
      </c>
      <c r="T880" s="335" t="s">
        <v>7247</v>
      </c>
      <c r="U880" s="25"/>
      <c r="V880" s="25">
        <v>4410</v>
      </c>
      <c r="W880" s="25">
        <v>4510</v>
      </c>
      <c r="X880" s="25"/>
      <c r="Y880" s="25">
        <v>3910</v>
      </c>
      <c r="Z880" s="25">
        <v>4090</v>
      </c>
      <c r="AA880" s="25" t="s">
        <v>16</v>
      </c>
      <c r="AB880" s="25" t="s">
        <v>16</v>
      </c>
      <c r="AC880" s="25">
        <v>2</v>
      </c>
      <c r="AD880" s="51" t="s">
        <v>7412</v>
      </c>
      <c r="AE880" s="52" t="s">
        <v>7556</v>
      </c>
      <c r="AF880" s="52" t="s">
        <v>1380</v>
      </c>
      <c r="AG880" s="745">
        <v>44218</v>
      </c>
      <c r="AH880" s="52"/>
      <c r="AI880" s="745">
        <v>44348</v>
      </c>
      <c r="AJ880" s="1132" t="s">
        <v>37</v>
      </c>
    </row>
    <row r="881" spans="1:36" ht="77.25" x14ac:dyDescent="0.25">
      <c r="A881" s="488"/>
      <c r="B881" s="131"/>
      <c r="C881" s="75"/>
      <c r="D881" s="568"/>
      <c r="E881" s="568"/>
      <c r="F881" s="118"/>
      <c r="G881" s="118"/>
      <c r="H881" s="75"/>
      <c r="I881" s="118"/>
      <c r="J881" s="121"/>
      <c r="K881" s="187">
        <v>1094</v>
      </c>
      <c r="L881" s="73" t="s">
        <v>7248</v>
      </c>
      <c r="M881" s="942">
        <v>1828470.6468</v>
      </c>
      <c r="N881" s="914">
        <v>5515762.5928999996</v>
      </c>
      <c r="O881" s="72" t="s">
        <v>41</v>
      </c>
      <c r="P881" s="140" t="s">
        <v>4204</v>
      </c>
      <c r="Q881" s="73" t="s">
        <v>2156</v>
      </c>
      <c r="R881" s="74" t="s">
        <v>2156</v>
      </c>
      <c r="S881" s="656" t="s">
        <v>47</v>
      </c>
      <c r="T881" s="340" t="s">
        <v>7249</v>
      </c>
      <c r="U881" s="31"/>
      <c r="V881" s="31"/>
      <c r="W881" s="31"/>
      <c r="X881" s="31"/>
      <c r="Y881" s="31">
        <v>150</v>
      </c>
      <c r="Z881" s="31">
        <v>510</v>
      </c>
      <c r="AA881" s="31" t="s">
        <v>85</v>
      </c>
      <c r="AB881" s="31" t="s">
        <v>10</v>
      </c>
      <c r="AC881" s="31">
        <v>3</v>
      </c>
      <c r="AD881" s="40" t="s">
        <v>7413</v>
      </c>
      <c r="AE881" s="40" t="s">
        <v>7556</v>
      </c>
      <c r="AF881" s="40" t="s">
        <v>1380</v>
      </c>
      <c r="AG881" s="744">
        <v>44218</v>
      </c>
      <c r="AH881" s="40"/>
      <c r="AI881" s="744">
        <v>44348</v>
      </c>
      <c r="AJ881" s="1135" t="s">
        <v>37</v>
      </c>
    </row>
    <row r="882" spans="1:36" ht="78" thickBot="1" x14ac:dyDescent="0.3">
      <c r="A882" s="488"/>
      <c r="B882" s="131"/>
      <c r="C882" s="75"/>
      <c r="D882" s="568"/>
      <c r="E882" s="568"/>
      <c r="F882" s="118"/>
      <c r="G882" s="118"/>
      <c r="H882" s="75"/>
      <c r="I882" s="118"/>
      <c r="J882" s="121"/>
      <c r="K882" s="188"/>
      <c r="L882" s="76"/>
      <c r="M882" s="915"/>
      <c r="N882" s="915"/>
      <c r="O882" s="75"/>
      <c r="P882" s="143"/>
      <c r="Q882" s="76"/>
      <c r="R882" s="77"/>
      <c r="S882" s="658" t="s">
        <v>91</v>
      </c>
      <c r="T882" s="337" t="s">
        <v>7250</v>
      </c>
      <c r="U882" s="2">
        <v>1260</v>
      </c>
      <c r="X882" s="2">
        <v>970</v>
      </c>
      <c r="AA882" s="2" t="s">
        <v>85</v>
      </c>
      <c r="AB882" s="2" t="s">
        <v>16</v>
      </c>
      <c r="AC882" s="148" t="s">
        <v>1625</v>
      </c>
      <c r="AD882" s="3" t="s">
        <v>7414</v>
      </c>
      <c r="AE882" s="3" t="s">
        <v>7556</v>
      </c>
      <c r="AF882" s="3" t="s">
        <v>1380</v>
      </c>
      <c r="AG882" s="747">
        <v>44218</v>
      </c>
      <c r="AI882" s="747">
        <v>44348</v>
      </c>
      <c r="AJ882" s="1131" t="s">
        <v>37</v>
      </c>
    </row>
    <row r="883" spans="1:36" ht="116.25" thickBot="1" x14ac:dyDescent="0.3">
      <c r="A883" s="488"/>
      <c r="B883" s="131"/>
      <c r="C883" s="75"/>
      <c r="D883" s="568"/>
      <c r="E883" s="568"/>
      <c r="F883" s="118"/>
      <c r="G883" s="118"/>
      <c r="H883" s="75"/>
      <c r="I883" s="118"/>
      <c r="J883" s="121"/>
      <c r="K883" s="87">
        <v>1092</v>
      </c>
      <c r="L883" s="360" t="s">
        <v>7251</v>
      </c>
      <c r="M883" s="947">
        <v>1830219.2884</v>
      </c>
      <c r="N883" s="198">
        <v>5519010.3503</v>
      </c>
      <c r="O883" s="83" t="s">
        <v>41</v>
      </c>
      <c r="P883" s="83" t="s">
        <v>7252</v>
      </c>
      <c r="Q883" s="360" t="s">
        <v>2156</v>
      </c>
      <c r="R883" s="88" t="s">
        <v>2156</v>
      </c>
      <c r="S883" s="683" t="s">
        <v>47</v>
      </c>
      <c r="T883" s="758" t="s">
        <v>7253</v>
      </c>
      <c r="U883" s="86">
        <v>488</v>
      </c>
      <c r="V883" s="86"/>
      <c r="W883" s="86"/>
      <c r="X883" s="86">
        <v>281</v>
      </c>
      <c r="Y883" s="86"/>
      <c r="Z883" s="86"/>
      <c r="AA883" s="86" t="s">
        <v>85</v>
      </c>
      <c r="AB883" s="86" t="s">
        <v>85</v>
      </c>
      <c r="AC883" s="86">
        <v>3</v>
      </c>
      <c r="AD883" s="92" t="s">
        <v>7415</v>
      </c>
      <c r="AE883" s="92" t="s">
        <v>7254</v>
      </c>
      <c r="AF883" s="92" t="s">
        <v>1380</v>
      </c>
      <c r="AG883" s="743">
        <v>44218</v>
      </c>
      <c r="AH883" s="92"/>
      <c r="AI883" s="743">
        <v>44348</v>
      </c>
      <c r="AJ883" s="1133" t="s">
        <v>37</v>
      </c>
    </row>
    <row r="884" spans="1:36" ht="77.25" x14ac:dyDescent="0.25">
      <c r="A884" s="488"/>
      <c r="B884" s="131"/>
      <c r="C884" s="75"/>
      <c r="D884" s="568"/>
      <c r="E884" s="568"/>
      <c r="F884" s="118"/>
      <c r="G884" s="118"/>
      <c r="H884" s="75"/>
      <c r="I884" s="118"/>
      <c r="J884" s="121"/>
      <c r="K884" s="187" t="s">
        <v>2156</v>
      </c>
      <c r="L884" s="73" t="s">
        <v>7255</v>
      </c>
      <c r="M884" s="942" t="s">
        <v>2156</v>
      </c>
      <c r="N884" s="914" t="s">
        <v>2156</v>
      </c>
      <c r="O884" s="72" t="s">
        <v>41</v>
      </c>
      <c r="P884" s="72">
        <v>2</v>
      </c>
      <c r="Q884" s="73" t="s">
        <v>2156</v>
      </c>
      <c r="R884" s="74" t="s">
        <v>2156</v>
      </c>
      <c r="S884" s="656" t="s">
        <v>47</v>
      </c>
      <c r="T884" s="759" t="s">
        <v>7253</v>
      </c>
      <c r="U884" s="31"/>
      <c r="V884" s="31">
        <v>281</v>
      </c>
      <c r="W884" s="31">
        <v>488</v>
      </c>
      <c r="X884" s="31">
        <v>158</v>
      </c>
      <c r="Y884" s="31"/>
      <c r="Z884" s="31"/>
      <c r="AA884" s="31" t="s">
        <v>16</v>
      </c>
      <c r="AB884" s="31" t="s">
        <v>16</v>
      </c>
      <c r="AC884" s="31">
        <v>2</v>
      </c>
      <c r="AD884" s="40" t="s">
        <v>7256</v>
      </c>
      <c r="AE884" s="40" t="s">
        <v>7254</v>
      </c>
      <c r="AF884" s="40" t="s">
        <v>1380</v>
      </c>
      <c r="AG884" s="744">
        <v>44218</v>
      </c>
      <c r="AH884" s="40"/>
      <c r="AI884" s="744">
        <v>44218</v>
      </c>
      <c r="AJ884" s="1135" t="s">
        <v>37</v>
      </c>
    </row>
    <row r="885" spans="1:36" ht="27" thickBot="1" x14ac:dyDescent="0.3">
      <c r="A885" s="488"/>
      <c r="B885" s="131"/>
      <c r="C885" s="75"/>
      <c r="D885" s="568"/>
      <c r="E885" s="568"/>
      <c r="F885" s="118"/>
      <c r="G885" s="118"/>
      <c r="H885" s="75"/>
      <c r="I885" s="118"/>
      <c r="J885" s="121"/>
      <c r="K885" s="192"/>
      <c r="L885" s="79"/>
      <c r="M885" s="944"/>
      <c r="N885" s="916"/>
      <c r="O885" s="78"/>
      <c r="P885" s="78"/>
      <c r="Q885" s="79"/>
      <c r="R885" s="80"/>
      <c r="S885" s="657" t="s">
        <v>91</v>
      </c>
      <c r="T885" s="760" t="s">
        <v>7257</v>
      </c>
      <c r="U885" s="25"/>
      <c r="V885" s="25">
        <v>970</v>
      </c>
      <c r="W885" s="25">
        <v>1260</v>
      </c>
      <c r="X885" s="25"/>
      <c r="Y885" s="25">
        <v>790</v>
      </c>
      <c r="Z885" s="25">
        <v>1070</v>
      </c>
      <c r="AA885" s="25" t="s">
        <v>16</v>
      </c>
      <c r="AB885" s="25" t="s">
        <v>16</v>
      </c>
      <c r="AC885" s="25">
        <v>2</v>
      </c>
      <c r="AD885" s="52" t="s">
        <v>7258</v>
      </c>
      <c r="AE885" s="52" t="s">
        <v>7556</v>
      </c>
      <c r="AF885" s="52" t="s">
        <v>1380</v>
      </c>
      <c r="AG885" s="745">
        <v>44218</v>
      </c>
      <c r="AH885" s="52"/>
      <c r="AI885" s="745">
        <v>44218</v>
      </c>
      <c r="AJ885" s="1132" t="s">
        <v>37</v>
      </c>
    </row>
    <row r="886" spans="1:36" ht="102.75" x14ac:dyDescent="0.25">
      <c r="A886" s="488"/>
      <c r="B886" s="131"/>
      <c r="C886" s="75"/>
      <c r="D886" s="568"/>
      <c r="E886" s="568"/>
      <c r="F886" s="118"/>
      <c r="G886" s="118"/>
      <c r="H886" s="75"/>
      <c r="I886" s="118"/>
      <c r="J886" s="121"/>
      <c r="K886" s="188">
        <v>1095</v>
      </c>
      <c r="L886" s="76" t="s">
        <v>7259</v>
      </c>
      <c r="M886" s="943">
        <v>1827487.2047999999</v>
      </c>
      <c r="N886" s="915">
        <v>5514267.9818000002</v>
      </c>
      <c r="O886" s="75" t="s">
        <v>41</v>
      </c>
      <c r="P886" s="143" t="s">
        <v>3347</v>
      </c>
      <c r="Q886" s="76" t="s">
        <v>2156</v>
      </c>
      <c r="R886" s="77" t="s">
        <v>2156</v>
      </c>
      <c r="S886" s="658" t="s">
        <v>47</v>
      </c>
      <c r="T886" s="337" t="s">
        <v>7260</v>
      </c>
      <c r="V886" s="2">
        <v>790</v>
      </c>
      <c r="W886" s="2">
        <v>1170</v>
      </c>
      <c r="Y886" s="2">
        <v>0</v>
      </c>
      <c r="Z886" s="2">
        <v>280</v>
      </c>
      <c r="AA886" s="2" t="s">
        <v>16</v>
      </c>
      <c r="AB886" s="2" t="s">
        <v>16</v>
      </c>
      <c r="AC886" s="2">
        <v>2</v>
      </c>
      <c r="AD886" s="3" t="s">
        <v>7416</v>
      </c>
      <c r="AE886" s="3" t="s">
        <v>7240</v>
      </c>
      <c r="AF886" s="3" t="s">
        <v>1380</v>
      </c>
      <c r="AG886" s="747">
        <v>44218</v>
      </c>
      <c r="AI886" s="747">
        <v>44348</v>
      </c>
      <c r="AJ886" s="1131" t="s">
        <v>37</v>
      </c>
    </row>
    <row r="887" spans="1:36" ht="77.25" x14ac:dyDescent="0.25">
      <c r="A887" s="488"/>
      <c r="B887" s="131"/>
      <c r="C887" s="75"/>
      <c r="D887" s="568"/>
      <c r="E887" s="568"/>
      <c r="F887" s="118"/>
      <c r="G887" s="118"/>
      <c r="H887" s="75"/>
      <c r="I887" s="118"/>
      <c r="J887" s="121"/>
      <c r="K887" s="188"/>
      <c r="L887" s="76"/>
      <c r="M887" s="915"/>
      <c r="N887" s="915"/>
      <c r="O887" s="75"/>
      <c r="P887" s="75"/>
      <c r="Q887" s="76"/>
      <c r="R887" s="77"/>
      <c r="S887" s="658" t="s">
        <v>91</v>
      </c>
      <c r="T887" s="337" t="s">
        <v>7261</v>
      </c>
      <c r="U887" s="2">
        <v>1170</v>
      </c>
      <c r="X887" s="2">
        <v>790</v>
      </c>
      <c r="AA887" s="2" t="s">
        <v>85</v>
      </c>
      <c r="AB887" s="2" t="s">
        <v>16</v>
      </c>
      <c r="AC887" s="2">
        <v>3</v>
      </c>
      <c r="AD887" s="3" t="s">
        <v>7417</v>
      </c>
      <c r="AE887" s="3" t="s">
        <v>7240</v>
      </c>
      <c r="AF887" s="3" t="s">
        <v>1380</v>
      </c>
      <c r="AG887" s="747">
        <v>44218</v>
      </c>
      <c r="AI887" s="747">
        <v>44348</v>
      </c>
      <c r="AJ887" s="1131" t="s">
        <v>37</v>
      </c>
    </row>
    <row r="888" spans="1:36" ht="77.25" x14ac:dyDescent="0.25">
      <c r="A888" s="488"/>
      <c r="B888" s="131"/>
      <c r="C888" s="75"/>
      <c r="D888" s="568"/>
      <c r="E888" s="568"/>
      <c r="F888" s="118"/>
      <c r="G888" s="118"/>
      <c r="H888" s="75"/>
      <c r="I888" s="118"/>
      <c r="J888" s="121"/>
      <c r="K888" s="188"/>
      <c r="L888" s="76"/>
      <c r="M888" s="915"/>
      <c r="N888" s="915"/>
      <c r="O888" s="75"/>
      <c r="P888" s="75"/>
      <c r="Q888" s="76"/>
      <c r="R888" s="77"/>
      <c r="S888" s="658" t="s">
        <v>92</v>
      </c>
      <c r="T888" s="337" t="s">
        <v>7262</v>
      </c>
      <c r="U888" s="2">
        <v>2350</v>
      </c>
      <c r="X888" s="2">
        <v>2100</v>
      </c>
      <c r="AA888" s="2" t="s">
        <v>85</v>
      </c>
      <c r="AB888" s="2" t="s">
        <v>16</v>
      </c>
      <c r="AC888" s="2">
        <v>3</v>
      </c>
      <c r="AD888" s="3" t="s">
        <v>7418</v>
      </c>
      <c r="AE888" s="3" t="s">
        <v>7240</v>
      </c>
      <c r="AF888" s="3" t="s">
        <v>1380</v>
      </c>
      <c r="AG888" s="747">
        <v>44218</v>
      </c>
      <c r="AI888" s="747">
        <v>44348</v>
      </c>
      <c r="AJ888" s="1131" t="s">
        <v>37</v>
      </c>
    </row>
    <row r="889" spans="1:36" ht="90" x14ac:dyDescent="0.25">
      <c r="A889" s="488"/>
      <c r="B889" s="131"/>
      <c r="C889" s="75"/>
      <c r="D889" s="568"/>
      <c r="E889" s="568"/>
      <c r="F889" s="118"/>
      <c r="G889" s="118"/>
      <c r="H889" s="75"/>
      <c r="I889" s="118"/>
      <c r="J889" s="121"/>
      <c r="K889" s="188"/>
      <c r="L889" s="76"/>
      <c r="M889" s="915"/>
      <c r="N889" s="915"/>
      <c r="O889" s="75"/>
      <c r="P889" s="75"/>
      <c r="Q889" s="76"/>
      <c r="R889" s="77"/>
      <c r="S889" s="658" t="s">
        <v>99</v>
      </c>
      <c r="T889" s="337" t="s">
        <v>7263</v>
      </c>
      <c r="U889" s="2">
        <v>4090</v>
      </c>
      <c r="X889" s="2" t="s">
        <v>7264</v>
      </c>
      <c r="AA889" s="2" t="s">
        <v>10</v>
      </c>
      <c r="AB889" s="2" t="s">
        <v>16</v>
      </c>
      <c r="AC889" s="2">
        <v>2</v>
      </c>
      <c r="AD889" s="3" t="s">
        <v>7419</v>
      </c>
      <c r="AE889" s="3" t="s">
        <v>7240</v>
      </c>
      <c r="AF889" s="3" t="s">
        <v>1380</v>
      </c>
      <c r="AG889" s="747">
        <v>44218</v>
      </c>
      <c r="AI889" s="747">
        <v>44348</v>
      </c>
      <c r="AJ889" s="1131" t="s">
        <v>37</v>
      </c>
    </row>
    <row r="890" spans="1:36" ht="103.5" thickBot="1" x14ac:dyDescent="0.3">
      <c r="A890" s="488"/>
      <c r="B890" s="131"/>
      <c r="C890" s="75"/>
      <c r="D890" s="568"/>
      <c r="E890" s="568"/>
      <c r="F890" s="118"/>
      <c r="G890" s="118"/>
      <c r="H890" s="75"/>
      <c r="I890" s="118"/>
      <c r="J890" s="121"/>
      <c r="K890" s="188"/>
      <c r="L890" s="76"/>
      <c r="M890" s="915"/>
      <c r="N890" s="915"/>
      <c r="O890" s="75"/>
      <c r="P890" s="75"/>
      <c r="Q890" s="76"/>
      <c r="R890" s="77"/>
      <c r="S890" s="658" t="s">
        <v>7265</v>
      </c>
      <c r="T890" s="337" t="s">
        <v>7266</v>
      </c>
      <c r="V890" s="2">
        <v>3780</v>
      </c>
      <c r="W890" s="2">
        <v>4090</v>
      </c>
      <c r="Y890" s="2">
        <v>2100</v>
      </c>
      <c r="Z890" s="2">
        <v>2350</v>
      </c>
      <c r="AA890" s="2" t="s">
        <v>16</v>
      </c>
      <c r="AB890" s="2" t="s">
        <v>16</v>
      </c>
      <c r="AC890" s="2">
        <v>2</v>
      </c>
      <c r="AD890" s="3" t="s">
        <v>7420</v>
      </c>
      <c r="AE890" s="3" t="s">
        <v>7240</v>
      </c>
      <c r="AF890" s="3" t="s">
        <v>1380</v>
      </c>
      <c r="AG890" s="747">
        <v>44218</v>
      </c>
      <c r="AI890" s="747">
        <v>44348</v>
      </c>
      <c r="AJ890" s="1131" t="s">
        <v>37</v>
      </c>
    </row>
    <row r="891" spans="1:36" ht="77.25" x14ac:dyDescent="0.25">
      <c r="A891" s="488"/>
      <c r="B891" s="131"/>
      <c r="C891" s="75"/>
      <c r="D891" s="568"/>
      <c r="E891" s="568"/>
      <c r="F891" s="118"/>
      <c r="G891" s="118"/>
      <c r="H891" s="75"/>
      <c r="I891" s="118"/>
      <c r="J891" s="121"/>
      <c r="K891" s="187">
        <v>1096</v>
      </c>
      <c r="L891" s="73" t="s">
        <v>7267</v>
      </c>
      <c r="M891" s="942">
        <v>1827377.1536000001</v>
      </c>
      <c r="N891" s="914">
        <v>5514010.8042000001</v>
      </c>
      <c r="O891" s="72" t="s">
        <v>41</v>
      </c>
      <c r="P891" s="72">
        <v>2</v>
      </c>
      <c r="Q891" s="73" t="s">
        <v>2156</v>
      </c>
      <c r="R891" s="74" t="s">
        <v>2156</v>
      </c>
      <c r="S891" s="656" t="s">
        <v>47</v>
      </c>
      <c r="T891" s="340" t="s">
        <v>7268</v>
      </c>
      <c r="U891" s="31"/>
      <c r="V891" s="31">
        <v>1890</v>
      </c>
      <c r="W891" s="31">
        <v>2120</v>
      </c>
      <c r="X891" s="31"/>
      <c r="Y891" s="31"/>
      <c r="Z891" s="31"/>
      <c r="AA891" s="31" t="s">
        <v>85</v>
      </c>
      <c r="AB891" s="31" t="s">
        <v>10</v>
      </c>
      <c r="AC891" s="130" t="s">
        <v>1625</v>
      </c>
      <c r="AD891" s="40" t="s">
        <v>7421</v>
      </c>
      <c r="AE891" s="40" t="s">
        <v>7240</v>
      </c>
      <c r="AF891" s="40" t="s">
        <v>1380</v>
      </c>
      <c r="AG891" s="744">
        <v>44218</v>
      </c>
      <c r="AH891" s="40"/>
      <c r="AI891" s="744">
        <v>44348</v>
      </c>
      <c r="AJ891" s="1135" t="s">
        <v>37</v>
      </c>
    </row>
    <row r="892" spans="1:36" ht="78" thickBot="1" x14ac:dyDescent="0.3">
      <c r="A892" s="488"/>
      <c r="B892" s="131"/>
      <c r="C892" s="75"/>
      <c r="D892" s="568"/>
      <c r="E892" s="568"/>
      <c r="F892" s="118"/>
      <c r="G892" s="118"/>
      <c r="H892" s="75"/>
      <c r="I892" s="118"/>
      <c r="J892" s="121"/>
      <c r="K892" s="192"/>
      <c r="L892" s="79"/>
      <c r="M892" s="916"/>
      <c r="N892" s="916"/>
      <c r="O892" s="78"/>
      <c r="P892" s="78"/>
      <c r="Q892" s="79"/>
      <c r="R892" s="80"/>
      <c r="S892" s="657" t="s">
        <v>10163</v>
      </c>
      <c r="T892" s="335" t="s">
        <v>7269</v>
      </c>
      <c r="U892" s="25">
        <v>1890</v>
      </c>
      <c r="V892" s="25"/>
      <c r="W892" s="25"/>
      <c r="X892" s="25">
        <v>2120</v>
      </c>
      <c r="Y892" s="25"/>
      <c r="Z892" s="25"/>
      <c r="AA892" s="25" t="s">
        <v>85</v>
      </c>
      <c r="AB892" s="25" t="s">
        <v>16</v>
      </c>
      <c r="AC892" s="25">
        <v>3</v>
      </c>
      <c r="AD892" s="52" t="s">
        <v>7422</v>
      </c>
      <c r="AE892" s="52" t="s">
        <v>7240</v>
      </c>
      <c r="AF892" s="52" t="s">
        <v>1380</v>
      </c>
      <c r="AG892" s="745">
        <v>44218</v>
      </c>
      <c r="AH892" s="52"/>
      <c r="AI892" s="745">
        <v>44348</v>
      </c>
      <c r="AJ892" s="1132" t="s">
        <v>37</v>
      </c>
    </row>
    <row r="893" spans="1:36" ht="217.5" x14ac:dyDescent="0.25">
      <c r="A893" s="488"/>
      <c r="B893" s="131"/>
      <c r="C893" s="75"/>
      <c r="D893" s="568"/>
      <c r="E893" s="568"/>
      <c r="F893" s="118"/>
      <c r="G893" s="118"/>
      <c r="H893" s="75"/>
      <c r="I893" s="118"/>
      <c r="J893" s="121"/>
      <c r="K893" s="187" t="s">
        <v>2156</v>
      </c>
      <c r="L893" s="73" t="s">
        <v>7270</v>
      </c>
      <c r="M893" s="914" t="s">
        <v>2156</v>
      </c>
      <c r="N893" s="914" t="s">
        <v>2156</v>
      </c>
      <c r="O893" s="72" t="s">
        <v>41</v>
      </c>
      <c r="P893" s="72">
        <v>5</v>
      </c>
      <c r="Q893" s="73" t="s">
        <v>2156</v>
      </c>
      <c r="R893" s="74" t="s">
        <v>2156</v>
      </c>
      <c r="S893" s="656" t="s">
        <v>47</v>
      </c>
      <c r="T893" s="340" t="s">
        <v>7260</v>
      </c>
      <c r="U893" s="31"/>
      <c r="V893" s="31">
        <v>790</v>
      </c>
      <c r="W893" s="31">
        <v>1170</v>
      </c>
      <c r="X893" s="31"/>
      <c r="Y893" s="31">
        <v>0</v>
      </c>
      <c r="Z893" s="31">
        <v>280</v>
      </c>
      <c r="AA893" s="31" t="s">
        <v>16</v>
      </c>
      <c r="AB893" s="31" t="s">
        <v>16</v>
      </c>
      <c r="AC893" s="31">
        <v>2</v>
      </c>
      <c r="AD893" s="40" t="s">
        <v>7271</v>
      </c>
      <c r="AE893" s="40" t="s">
        <v>7240</v>
      </c>
      <c r="AF893" s="40" t="s">
        <v>1380</v>
      </c>
      <c r="AG893" s="744">
        <v>44218</v>
      </c>
      <c r="AH893" s="40"/>
      <c r="AI893" s="744">
        <v>44222</v>
      </c>
      <c r="AJ893" s="1135" t="s">
        <v>37</v>
      </c>
    </row>
    <row r="894" spans="1:36" ht="90" x14ac:dyDescent="0.25">
      <c r="A894" s="488"/>
      <c r="B894" s="131"/>
      <c r="C894" s="75"/>
      <c r="D894" s="568"/>
      <c r="E894" s="568"/>
      <c r="F894" s="118"/>
      <c r="G894" s="118"/>
      <c r="H894" s="75"/>
      <c r="I894" s="118"/>
      <c r="J894" s="121"/>
      <c r="K894" s="188"/>
      <c r="L894" s="76"/>
      <c r="M894" s="915"/>
      <c r="N894" s="915"/>
      <c r="O894" s="75"/>
      <c r="P894" s="75"/>
      <c r="Q894" s="76"/>
      <c r="R894" s="77"/>
      <c r="S894" s="658" t="s">
        <v>91</v>
      </c>
      <c r="T894" s="337" t="s">
        <v>7261</v>
      </c>
      <c r="U894" s="2">
        <v>1170</v>
      </c>
      <c r="X894" s="2">
        <v>790</v>
      </c>
      <c r="AA894" s="2" t="s">
        <v>85</v>
      </c>
      <c r="AB894" s="2" t="s">
        <v>16</v>
      </c>
      <c r="AC894" s="2">
        <v>3</v>
      </c>
      <c r="AD894" s="3" t="s">
        <v>7272</v>
      </c>
      <c r="AE894" s="3" t="s">
        <v>7240</v>
      </c>
      <c r="AF894" s="3" t="s">
        <v>1380</v>
      </c>
      <c r="AG894" s="747">
        <v>44218</v>
      </c>
      <c r="AI894" s="747">
        <v>44222</v>
      </c>
      <c r="AJ894" s="1131" t="s">
        <v>37</v>
      </c>
    </row>
    <row r="895" spans="1:36" ht="39" x14ac:dyDescent="0.25">
      <c r="A895" s="488"/>
      <c r="B895" s="131"/>
      <c r="C895" s="75"/>
      <c r="D895" s="568"/>
      <c r="E895" s="568"/>
      <c r="F895" s="118"/>
      <c r="G895" s="118"/>
      <c r="H895" s="75"/>
      <c r="I895" s="118"/>
      <c r="J895" s="121"/>
      <c r="K895" s="188"/>
      <c r="L895" s="76"/>
      <c r="M895" s="915"/>
      <c r="N895" s="915"/>
      <c r="O895" s="75"/>
      <c r="P895" s="75"/>
      <c r="Q895" s="76"/>
      <c r="R895" s="77"/>
      <c r="S895" s="658" t="s">
        <v>92</v>
      </c>
      <c r="T895" s="337" t="s">
        <v>7273</v>
      </c>
      <c r="V895" s="2">
        <v>2100</v>
      </c>
      <c r="W895" s="2">
        <v>2350</v>
      </c>
      <c r="Y895" s="2">
        <v>1890</v>
      </c>
      <c r="Z895" s="2">
        <v>2120</v>
      </c>
      <c r="AA895" s="2" t="s">
        <v>16</v>
      </c>
      <c r="AB895" s="2" t="s">
        <v>16</v>
      </c>
      <c r="AC895" s="2">
        <v>2</v>
      </c>
      <c r="AD895" s="3" t="s">
        <v>7274</v>
      </c>
      <c r="AE895" s="3" t="s">
        <v>7240</v>
      </c>
      <c r="AF895" s="3" t="s">
        <v>1380</v>
      </c>
      <c r="AG895" s="747">
        <v>44218</v>
      </c>
      <c r="AI895" s="747">
        <v>44222</v>
      </c>
      <c r="AJ895" s="1131" t="s">
        <v>37</v>
      </c>
    </row>
    <row r="896" spans="1:36" ht="26.25" x14ac:dyDescent="0.25">
      <c r="A896" s="488"/>
      <c r="B896" s="131"/>
      <c r="C896" s="75"/>
      <c r="D896" s="568"/>
      <c r="E896" s="568"/>
      <c r="F896" s="118"/>
      <c r="G896" s="118"/>
      <c r="H896" s="75"/>
      <c r="I896" s="118"/>
      <c r="J896" s="121"/>
      <c r="K896" s="188"/>
      <c r="L896" s="76"/>
      <c r="M896" s="915"/>
      <c r="N896" s="915"/>
      <c r="O896" s="75"/>
      <c r="P896" s="75"/>
      <c r="Q896" s="76"/>
      <c r="R896" s="77"/>
      <c r="S896" s="658" t="s">
        <v>99</v>
      </c>
      <c r="T896" s="337"/>
      <c r="AD896" s="3" t="s">
        <v>7275</v>
      </c>
      <c r="AE896" s="3" t="s">
        <v>7240</v>
      </c>
      <c r="AF896" s="3" t="s">
        <v>1380</v>
      </c>
      <c r="AG896" s="747">
        <v>44218</v>
      </c>
      <c r="AI896" s="747">
        <v>44222</v>
      </c>
      <c r="AJ896" s="1131" t="s">
        <v>37</v>
      </c>
    </row>
    <row r="897" spans="1:36" ht="116.25" thickBot="1" x14ac:dyDescent="0.3">
      <c r="A897" s="488"/>
      <c r="B897" s="131"/>
      <c r="C897" s="75"/>
      <c r="D897" s="568"/>
      <c r="E897" s="568"/>
      <c r="F897" s="118"/>
      <c r="G897" s="118"/>
      <c r="H897" s="75"/>
      <c r="I897" s="118"/>
      <c r="J897" s="121"/>
      <c r="K897" s="192"/>
      <c r="L897" s="79"/>
      <c r="M897" s="916"/>
      <c r="N897" s="916"/>
      <c r="O897" s="78"/>
      <c r="P897" s="78"/>
      <c r="Q897" s="79"/>
      <c r="R897" s="80"/>
      <c r="S897" s="657" t="s">
        <v>100</v>
      </c>
      <c r="T897" s="335" t="s">
        <v>7263</v>
      </c>
      <c r="U897" s="25">
        <v>4090</v>
      </c>
      <c r="V897" s="25"/>
      <c r="W897" s="25"/>
      <c r="X897" s="25" t="s">
        <v>7264</v>
      </c>
      <c r="Y897" s="25"/>
      <c r="Z897" s="25"/>
      <c r="AA897" s="25" t="s">
        <v>10</v>
      </c>
      <c r="AB897" s="25" t="s">
        <v>16</v>
      </c>
      <c r="AC897" s="25">
        <v>2</v>
      </c>
      <c r="AD897" s="52" t="s">
        <v>7276</v>
      </c>
      <c r="AE897" s="52" t="s">
        <v>7240</v>
      </c>
      <c r="AF897" s="52" t="s">
        <v>1380</v>
      </c>
      <c r="AG897" s="745">
        <v>44218</v>
      </c>
      <c r="AH897" s="52"/>
      <c r="AI897" s="745">
        <v>44222</v>
      </c>
      <c r="AJ897" s="1132" t="s">
        <v>37</v>
      </c>
    </row>
    <row r="898" spans="1:36" ht="90.75" thickBot="1" x14ac:dyDescent="0.3">
      <c r="A898" s="488"/>
      <c r="B898" s="131"/>
      <c r="C898" s="75"/>
      <c r="D898" s="568"/>
      <c r="E898" s="568"/>
      <c r="F898" s="118"/>
      <c r="G898" s="118"/>
      <c r="H898" s="75"/>
      <c r="I898" s="118"/>
      <c r="J898" s="1052"/>
      <c r="K898" s="87">
        <v>1228</v>
      </c>
      <c r="L898" s="360" t="s">
        <v>7277</v>
      </c>
      <c r="M898" s="947">
        <v>1818103.1307999999</v>
      </c>
      <c r="N898" s="198">
        <v>5499168.9338999996</v>
      </c>
      <c r="O898" s="83" t="s">
        <v>41</v>
      </c>
      <c r="P898" s="83">
        <v>2</v>
      </c>
      <c r="Q898" s="360" t="s">
        <v>2156</v>
      </c>
      <c r="R898" s="88" t="s">
        <v>2156</v>
      </c>
      <c r="S898" s="683" t="s">
        <v>47</v>
      </c>
      <c r="T898" s="329" t="s">
        <v>7278</v>
      </c>
      <c r="U898" s="86"/>
      <c r="V898" s="86"/>
      <c r="W898" s="86"/>
      <c r="X898" s="86"/>
      <c r="Y898" s="86">
        <v>5</v>
      </c>
      <c r="Z898" s="86">
        <v>305</v>
      </c>
      <c r="AA898" s="86" t="s">
        <v>85</v>
      </c>
      <c r="AB898" s="86" t="s">
        <v>85</v>
      </c>
      <c r="AC898" s="86">
        <v>3</v>
      </c>
      <c r="AD898" s="92" t="s">
        <v>7430</v>
      </c>
      <c r="AE898" s="92" t="s">
        <v>7235</v>
      </c>
      <c r="AF898" s="92" t="s">
        <v>1380</v>
      </c>
      <c r="AG898" s="743">
        <v>44221</v>
      </c>
      <c r="AH898" s="92"/>
      <c r="AI898" s="743">
        <v>44348</v>
      </c>
      <c r="AJ898" s="1133" t="s">
        <v>37</v>
      </c>
    </row>
    <row r="899" spans="1:36" ht="90.75" thickBot="1" x14ac:dyDescent="0.3">
      <c r="A899" s="488"/>
      <c r="B899" s="131"/>
      <c r="C899" s="75"/>
      <c r="D899" s="568"/>
      <c r="E899" s="568"/>
      <c r="F899" s="118"/>
      <c r="G899" s="118"/>
      <c r="H899" s="75"/>
      <c r="I899" s="118"/>
      <c r="J899" s="1052"/>
      <c r="K899" s="188">
        <v>1097</v>
      </c>
      <c r="L899" s="76" t="s">
        <v>7280</v>
      </c>
      <c r="M899" s="915">
        <v>1818109.4265999999</v>
      </c>
      <c r="N899" s="915">
        <v>5499180.5500999996</v>
      </c>
      <c r="O899" s="75" t="s">
        <v>41</v>
      </c>
      <c r="P899" s="75">
        <v>1</v>
      </c>
      <c r="Q899" s="76" t="s">
        <v>2156</v>
      </c>
      <c r="R899" s="77" t="s">
        <v>2156</v>
      </c>
      <c r="S899" s="658" t="s">
        <v>91</v>
      </c>
      <c r="T899" s="337" t="s">
        <v>7281</v>
      </c>
      <c r="Y899" s="2">
        <v>1170</v>
      </c>
      <c r="Z899" s="2">
        <v>1390</v>
      </c>
      <c r="AA899" s="2" t="s">
        <v>85</v>
      </c>
      <c r="AB899" s="2" t="s">
        <v>16</v>
      </c>
      <c r="AC899" s="2">
        <v>3</v>
      </c>
      <c r="AD899" s="3" t="s">
        <v>7431</v>
      </c>
      <c r="AE899" s="3" t="s">
        <v>7557</v>
      </c>
      <c r="AF899" s="3" t="s">
        <v>1380</v>
      </c>
      <c r="AG899" s="747">
        <v>44221</v>
      </c>
      <c r="AI899" s="747">
        <v>44348</v>
      </c>
      <c r="AJ899" s="1131" t="s">
        <v>37</v>
      </c>
    </row>
    <row r="900" spans="1:36" ht="116.25" thickBot="1" x14ac:dyDescent="0.3">
      <c r="A900" s="488"/>
      <c r="B900" s="131"/>
      <c r="C900" s="75"/>
      <c r="D900" s="568"/>
      <c r="E900" s="568"/>
      <c r="F900" s="118"/>
      <c r="G900" s="118"/>
      <c r="H900" s="75"/>
      <c r="I900" s="118"/>
      <c r="J900" s="121"/>
      <c r="K900" s="87">
        <v>1098</v>
      </c>
      <c r="L900" s="360" t="s">
        <v>7282</v>
      </c>
      <c r="M900" s="947">
        <v>1818301.2498999999</v>
      </c>
      <c r="N900" s="198">
        <v>5499362.5837000003</v>
      </c>
      <c r="O900" s="83" t="s">
        <v>41</v>
      </c>
      <c r="P900" s="83">
        <v>1</v>
      </c>
      <c r="Q900" s="360" t="s">
        <v>2156</v>
      </c>
      <c r="R900" s="88" t="s">
        <v>2156</v>
      </c>
      <c r="S900" s="683" t="s">
        <v>47</v>
      </c>
      <c r="T900" s="329" t="s">
        <v>7283</v>
      </c>
      <c r="U900" s="86"/>
      <c r="V900" s="86">
        <v>1090</v>
      </c>
      <c r="W900" s="86">
        <v>1350</v>
      </c>
      <c r="X900" s="86"/>
      <c r="Y900" s="86">
        <v>690</v>
      </c>
      <c r="Z900" s="86">
        <v>930</v>
      </c>
      <c r="AA900" s="86" t="s">
        <v>16</v>
      </c>
      <c r="AB900" s="86" t="s">
        <v>10</v>
      </c>
      <c r="AC900" s="86">
        <v>2</v>
      </c>
      <c r="AD900" s="92" t="s">
        <v>7432</v>
      </c>
      <c r="AE900" s="92" t="s">
        <v>7556</v>
      </c>
      <c r="AF900" s="92" t="s">
        <v>1380</v>
      </c>
      <c r="AG900" s="743">
        <v>44221</v>
      </c>
      <c r="AH900" s="92"/>
      <c r="AI900" s="743">
        <v>44348</v>
      </c>
      <c r="AJ900" s="1133" t="s">
        <v>37</v>
      </c>
    </row>
    <row r="901" spans="1:36" ht="153.75" x14ac:dyDescent="0.25">
      <c r="A901" s="488"/>
      <c r="B901" s="131"/>
      <c r="C901" s="75"/>
      <c r="D901" s="568"/>
      <c r="E901" s="568"/>
      <c r="F901" s="118"/>
      <c r="G901" s="118"/>
      <c r="H901" s="75"/>
      <c r="I901" s="118"/>
      <c r="J901" s="121"/>
      <c r="K901" s="187" t="s">
        <v>2156</v>
      </c>
      <c r="L901" s="73" t="s">
        <v>7813</v>
      </c>
      <c r="M901" s="942" t="s">
        <v>2156</v>
      </c>
      <c r="N901" s="914" t="s">
        <v>2156</v>
      </c>
      <c r="O901" s="72" t="s">
        <v>41</v>
      </c>
      <c r="P901" s="140" t="s">
        <v>1316</v>
      </c>
      <c r="Q901" s="73" t="s">
        <v>2156</v>
      </c>
      <c r="R901" s="74" t="s">
        <v>2156</v>
      </c>
      <c r="S901" s="656" t="s">
        <v>47</v>
      </c>
      <c r="T901" s="340" t="s">
        <v>7278</v>
      </c>
      <c r="U901" s="31"/>
      <c r="V901" s="31"/>
      <c r="W901" s="31"/>
      <c r="X901" s="31"/>
      <c r="Y901" s="31">
        <v>5</v>
      </c>
      <c r="Z901" s="31">
        <v>305</v>
      </c>
      <c r="AA901" s="31" t="s">
        <v>85</v>
      </c>
      <c r="AB901" s="31" t="s">
        <v>16</v>
      </c>
      <c r="AC901" s="31">
        <v>3</v>
      </c>
      <c r="AD901" s="40" t="s">
        <v>7279</v>
      </c>
      <c r="AE901" s="40" t="s">
        <v>7235</v>
      </c>
      <c r="AF901" s="40" t="s">
        <v>1380</v>
      </c>
      <c r="AG901" s="744">
        <v>44221</v>
      </c>
      <c r="AH901" s="40"/>
      <c r="AI901" s="744">
        <v>44222</v>
      </c>
      <c r="AJ901" s="1135" t="s">
        <v>37</v>
      </c>
    </row>
    <row r="902" spans="1:36" ht="51.75" x14ac:dyDescent="0.25">
      <c r="A902" s="488"/>
      <c r="B902" s="131"/>
      <c r="C902" s="75"/>
      <c r="D902" s="568"/>
      <c r="E902" s="568"/>
      <c r="F902" s="118"/>
      <c r="G902" s="118"/>
      <c r="H902" s="75"/>
      <c r="I902" s="118"/>
      <c r="J902" s="121"/>
      <c r="K902" s="188"/>
      <c r="L902" s="76"/>
      <c r="M902" s="943"/>
      <c r="N902" s="915"/>
      <c r="O902" s="75"/>
      <c r="P902" s="75"/>
      <c r="Q902" s="76"/>
      <c r="R902" s="77"/>
      <c r="S902" s="658" t="s">
        <v>4016</v>
      </c>
      <c r="T902" s="337" t="s">
        <v>7284</v>
      </c>
      <c r="V902" s="2">
        <v>1090</v>
      </c>
      <c r="W902" s="2">
        <v>1350</v>
      </c>
      <c r="Y902" s="2">
        <v>1170</v>
      </c>
      <c r="Z902" s="2">
        <v>1390</v>
      </c>
      <c r="AA902" s="2" t="s">
        <v>85</v>
      </c>
      <c r="AB902" s="2" t="s">
        <v>16</v>
      </c>
      <c r="AC902" s="148" t="s">
        <v>1625</v>
      </c>
      <c r="AD902" s="3" t="s">
        <v>7285</v>
      </c>
      <c r="AE902" s="3" t="s">
        <v>7557</v>
      </c>
      <c r="AF902" s="3" t="s">
        <v>1380</v>
      </c>
      <c r="AG902" s="747">
        <v>44221</v>
      </c>
      <c r="AI902" s="747">
        <v>44222</v>
      </c>
      <c r="AJ902" s="1131" t="s">
        <v>37</v>
      </c>
    </row>
    <row r="903" spans="1:36" ht="39.75" thickBot="1" x14ac:dyDescent="0.3">
      <c r="A903" s="488"/>
      <c r="B903" s="131"/>
      <c r="C903" s="75"/>
      <c r="D903" s="568"/>
      <c r="E903" s="568"/>
      <c r="F903" s="118"/>
      <c r="G903" s="118"/>
      <c r="H903" s="75"/>
      <c r="I903" s="118"/>
      <c r="J903" s="121"/>
      <c r="K903" s="192"/>
      <c r="L903" s="79"/>
      <c r="M903" s="944"/>
      <c r="N903" s="916"/>
      <c r="O903" s="78"/>
      <c r="P903" s="78"/>
      <c r="Q903" s="79"/>
      <c r="R903" s="80"/>
      <c r="S903" s="657" t="s">
        <v>7023</v>
      </c>
      <c r="T903" s="335" t="s">
        <v>7286</v>
      </c>
      <c r="U903" s="25"/>
      <c r="V903" s="25"/>
      <c r="W903" s="25"/>
      <c r="X903" s="25"/>
      <c r="Y903" s="25">
        <v>1170</v>
      </c>
      <c r="Z903" s="25">
        <v>1350</v>
      </c>
      <c r="AA903" s="25" t="s">
        <v>85</v>
      </c>
      <c r="AB903" s="25" t="s">
        <v>16</v>
      </c>
      <c r="AC903" s="25">
        <v>3</v>
      </c>
      <c r="AD903" s="52" t="s">
        <v>7287</v>
      </c>
      <c r="AE903" s="3" t="s">
        <v>7557</v>
      </c>
      <c r="AF903" s="52" t="s">
        <v>1380</v>
      </c>
      <c r="AG903" s="745">
        <v>44221</v>
      </c>
      <c r="AH903" s="52"/>
      <c r="AI903" s="745">
        <v>44222</v>
      </c>
      <c r="AJ903" s="1132" t="s">
        <v>37</v>
      </c>
    </row>
    <row r="904" spans="1:36" ht="90" x14ac:dyDescent="0.25">
      <c r="A904" s="488"/>
      <c r="B904" s="131"/>
      <c r="C904" s="75"/>
      <c r="D904" s="568"/>
      <c r="E904" s="568"/>
      <c r="F904" s="118"/>
      <c r="G904" s="118"/>
      <c r="H904" s="75"/>
      <c r="I904" s="118"/>
      <c r="J904" s="121"/>
      <c r="K904" s="187">
        <v>1226</v>
      </c>
      <c r="L904" s="73" t="s">
        <v>7288</v>
      </c>
      <c r="M904" s="942">
        <v>1816689.5611</v>
      </c>
      <c r="N904" s="914">
        <v>5497382.9919999996</v>
      </c>
      <c r="O904" s="72" t="s">
        <v>41</v>
      </c>
      <c r="P904" s="140" t="s">
        <v>7814</v>
      </c>
      <c r="Q904" s="73" t="s">
        <v>2156</v>
      </c>
      <c r="R904" s="74" t="s">
        <v>2156</v>
      </c>
      <c r="S904" s="656" t="s">
        <v>47</v>
      </c>
      <c r="T904" s="340" t="s">
        <v>7289</v>
      </c>
      <c r="U904" s="31"/>
      <c r="V904" s="31">
        <v>672</v>
      </c>
      <c r="W904" s="31">
        <v>767</v>
      </c>
      <c r="X904" s="31"/>
      <c r="Y904" s="31">
        <v>0</v>
      </c>
      <c r="Z904" s="31">
        <v>270</v>
      </c>
      <c r="AA904" s="31" t="s">
        <v>16</v>
      </c>
      <c r="AB904" s="31" t="s">
        <v>10</v>
      </c>
      <c r="AC904" s="31">
        <v>2</v>
      </c>
      <c r="AD904" s="40" t="s">
        <v>7433</v>
      </c>
      <c r="AE904" s="40" t="s">
        <v>1788</v>
      </c>
      <c r="AF904" s="40" t="s">
        <v>1380</v>
      </c>
      <c r="AG904" s="744">
        <v>44271</v>
      </c>
      <c r="AH904" s="40"/>
      <c r="AI904" s="744">
        <v>44348</v>
      </c>
      <c r="AJ904" s="652" t="s">
        <v>37</v>
      </c>
    </row>
    <row r="905" spans="1:36" ht="77.25" x14ac:dyDescent="0.25">
      <c r="A905" s="488"/>
      <c r="B905" s="131"/>
      <c r="C905" s="75"/>
      <c r="D905" s="568"/>
      <c r="E905" s="568"/>
      <c r="F905" s="118"/>
      <c r="G905" s="118"/>
      <c r="H905" s="75"/>
      <c r="I905" s="118"/>
      <c r="J905" s="121"/>
      <c r="K905" s="188"/>
      <c r="L905" s="76"/>
      <c r="M905" s="943"/>
      <c r="N905" s="915"/>
      <c r="O905" s="75"/>
      <c r="P905" s="143"/>
      <c r="Q905" s="76"/>
      <c r="R905" s="77"/>
      <c r="S905" s="658" t="s">
        <v>91</v>
      </c>
      <c r="T905" s="337" t="s">
        <v>7290</v>
      </c>
      <c r="U905" s="2">
        <v>767</v>
      </c>
      <c r="X905" s="2">
        <v>672</v>
      </c>
      <c r="AA905" s="2" t="s">
        <v>85</v>
      </c>
      <c r="AB905" s="2" t="s">
        <v>10</v>
      </c>
      <c r="AC905" s="2">
        <v>3</v>
      </c>
      <c r="AD905" s="3" t="s">
        <v>7434</v>
      </c>
      <c r="AE905" s="3" t="s">
        <v>1788</v>
      </c>
      <c r="AF905" s="3" t="s">
        <v>1380</v>
      </c>
      <c r="AG905" s="747">
        <v>44271</v>
      </c>
      <c r="AI905" s="747">
        <v>44348</v>
      </c>
      <c r="AJ905" s="1107" t="s">
        <v>37</v>
      </c>
    </row>
    <row r="906" spans="1:36" ht="115.5" x14ac:dyDescent="0.25">
      <c r="A906" s="488"/>
      <c r="B906" s="131"/>
      <c r="C906" s="75"/>
      <c r="D906" s="568"/>
      <c r="E906" s="568"/>
      <c r="F906" s="118"/>
      <c r="G906" s="118"/>
      <c r="H906" s="75"/>
      <c r="I906" s="118"/>
      <c r="J906" s="121"/>
      <c r="K906" s="188"/>
      <c r="L906" s="76"/>
      <c r="M906" s="943"/>
      <c r="N906" s="915"/>
      <c r="O906" s="75"/>
      <c r="P906" s="75"/>
      <c r="Q906" s="76"/>
      <c r="R906" s="77"/>
      <c r="S906" s="658" t="s">
        <v>92</v>
      </c>
      <c r="T906" s="337" t="s">
        <v>7291</v>
      </c>
      <c r="V906" s="2">
        <v>1828</v>
      </c>
      <c r="W906" s="2">
        <v>1993</v>
      </c>
      <c r="Y906" s="2">
        <v>1697</v>
      </c>
      <c r="Z906" s="2">
        <v>1870</v>
      </c>
      <c r="AA906" s="2" t="s">
        <v>16</v>
      </c>
      <c r="AB906" s="2" t="s">
        <v>10</v>
      </c>
      <c r="AC906" s="2">
        <v>2</v>
      </c>
      <c r="AD906" s="3" t="s">
        <v>7435</v>
      </c>
      <c r="AE906" s="3" t="s">
        <v>1788</v>
      </c>
      <c r="AF906" s="3" t="s">
        <v>1380</v>
      </c>
      <c r="AG906" s="747">
        <v>44271</v>
      </c>
      <c r="AI906" s="747">
        <v>44348</v>
      </c>
      <c r="AJ906" s="1107" t="s">
        <v>37</v>
      </c>
    </row>
    <row r="907" spans="1:36" ht="102.75" x14ac:dyDescent="0.25">
      <c r="A907" s="488"/>
      <c r="B907" s="131"/>
      <c r="C907" s="75"/>
      <c r="D907" s="568"/>
      <c r="E907" s="568"/>
      <c r="F907" s="118"/>
      <c r="G907" s="118"/>
      <c r="H907" s="75"/>
      <c r="I907" s="118"/>
      <c r="J907" s="121"/>
      <c r="K907" s="188"/>
      <c r="L907" s="76"/>
      <c r="M907" s="943"/>
      <c r="N907" s="915"/>
      <c r="O907" s="75"/>
      <c r="P907" s="75"/>
      <c r="Q907" s="76"/>
      <c r="R907" s="77"/>
      <c r="S907" s="658" t="s">
        <v>99</v>
      </c>
      <c r="T907" s="337" t="s">
        <v>7292</v>
      </c>
      <c r="V907" s="2">
        <v>3467</v>
      </c>
      <c r="W907" s="2">
        <v>3690</v>
      </c>
      <c r="Y907" s="2">
        <v>1828</v>
      </c>
      <c r="Z907" s="2">
        <v>1993</v>
      </c>
      <c r="AA907" s="2" t="s">
        <v>16</v>
      </c>
      <c r="AB907" s="2" t="s">
        <v>10</v>
      </c>
      <c r="AC907" s="2">
        <v>2</v>
      </c>
      <c r="AD907" s="3" t="s">
        <v>7436</v>
      </c>
      <c r="AE907" s="3" t="s">
        <v>1788</v>
      </c>
      <c r="AF907" s="3" t="s">
        <v>1380</v>
      </c>
      <c r="AG907" s="747">
        <v>44271</v>
      </c>
      <c r="AI907" s="747">
        <v>44348</v>
      </c>
      <c r="AJ907" s="1107" t="s">
        <v>37</v>
      </c>
    </row>
    <row r="908" spans="1:36" ht="77.25" x14ac:dyDescent="0.25">
      <c r="A908" s="488"/>
      <c r="B908" s="131"/>
      <c r="C908" s="75"/>
      <c r="D908" s="568"/>
      <c r="E908" s="568"/>
      <c r="F908" s="118"/>
      <c r="G908" s="118"/>
      <c r="H908" s="75"/>
      <c r="I908" s="118"/>
      <c r="J908" s="121"/>
      <c r="K908" s="188"/>
      <c r="L908" s="76"/>
      <c r="M908" s="943"/>
      <c r="N908" s="915"/>
      <c r="O908" s="75"/>
      <c r="P908" s="75"/>
      <c r="Q908" s="76"/>
      <c r="R908" s="77"/>
      <c r="S908" s="658" t="s">
        <v>100</v>
      </c>
      <c r="T908" s="337" t="s">
        <v>7293</v>
      </c>
      <c r="V908" s="2">
        <v>3682</v>
      </c>
      <c r="W908" s="2">
        <v>3870</v>
      </c>
      <c r="Y908" s="2">
        <v>3467</v>
      </c>
      <c r="Z908" s="2">
        <v>3690</v>
      </c>
      <c r="AA908" s="2" t="s">
        <v>16</v>
      </c>
      <c r="AB908" s="2" t="s">
        <v>16</v>
      </c>
      <c r="AC908" s="2">
        <v>2</v>
      </c>
      <c r="AD908" s="3" t="s">
        <v>7438</v>
      </c>
      <c r="AE908" s="3" t="s">
        <v>1788</v>
      </c>
      <c r="AF908" s="3" t="s">
        <v>1380</v>
      </c>
      <c r="AG908" s="747">
        <v>44271</v>
      </c>
      <c r="AI908" s="747">
        <v>44348</v>
      </c>
      <c r="AJ908" s="1107" t="s">
        <v>37</v>
      </c>
    </row>
    <row r="909" spans="1:36" ht="65.25" thickBot="1" x14ac:dyDescent="0.3">
      <c r="A909" s="488"/>
      <c r="B909" s="131"/>
      <c r="C909" s="75"/>
      <c r="D909" s="568"/>
      <c r="E909" s="568"/>
      <c r="F909" s="118"/>
      <c r="G909" s="118"/>
      <c r="H909" s="75"/>
      <c r="I909" s="118"/>
      <c r="J909" s="121"/>
      <c r="K909" s="192"/>
      <c r="L909" s="79"/>
      <c r="M909" s="944"/>
      <c r="N909" s="916"/>
      <c r="O909" s="78"/>
      <c r="P909" s="78"/>
      <c r="Q909" s="79"/>
      <c r="R909" s="80"/>
      <c r="S909" s="657" t="s">
        <v>101</v>
      </c>
      <c r="T909" s="335" t="s">
        <v>7294</v>
      </c>
      <c r="U909" s="25"/>
      <c r="V909" s="25"/>
      <c r="W909" s="25"/>
      <c r="X909" s="25"/>
      <c r="Y909" s="25">
        <v>3682</v>
      </c>
      <c r="Z909" s="25">
        <v>3870</v>
      </c>
      <c r="AA909" s="25" t="s">
        <v>85</v>
      </c>
      <c r="AB909" s="25" t="s">
        <v>10</v>
      </c>
      <c r="AC909" s="25">
        <v>3</v>
      </c>
      <c r="AD909" s="52" t="s">
        <v>7437</v>
      </c>
      <c r="AE909" s="52" t="s">
        <v>1788</v>
      </c>
      <c r="AF909" s="52" t="s">
        <v>1380</v>
      </c>
      <c r="AG909" s="745">
        <v>44271</v>
      </c>
      <c r="AH909" s="52"/>
      <c r="AI909" s="745">
        <v>44348</v>
      </c>
      <c r="AJ909" s="653" t="s">
        <v>37</v>
      </c>
    </row>
    <row r="910" spans="1:36" ht="102.75" x14ac:dyDescent="0.25">
      <c r="A910" s="488"/>
      <c r="B910" s="131"/>
      <c r="C910" s="75"/>
      <c r="D910" s="568"/>
      <c r="E910" s="568"/>
      <c r="F910" s="118"/>
      <c r="G910" s="118"/>
      <c r="H910" s="75"/>
      <c r="I910" s="118"/>
      <c r="J910" s="121"/>
      <c r="K910" s="188">
        <v>1091</v>
      </c>
      <c r="L910" s="76" t="s">
        <v>1797</v>
      </c>
      <c r="M910" s="943">
        <v>1816615.0651</v>
      </c>
      <c r="N910" s="915">
        <v>5497262.4781999998</v>
      </c>
      <c r="O910" s="75" t="s">
        <v>41</v>
      </c>
      <c r="P910" s="143" t="s">
        <v>5536</v>
      </c>
      <c r="Q910" s="76" t="s">
        <v>2156</v>
      </c>
      <c r="R910" s="77" t="s">
        <v>2156</v>
      </c>
      <c r="S910" s="658" t="s">
        <v>47</v>
      </c>
      <c r="T910" s="337" t="s">
        <v>7295</v>
      </c>
      <c r="V910" s="2">
        <v>327</v>
      </c>
      <c r="W910" s="2">
        <v>502</v>
      </c>
      <c r="Y910" s="2">
        <v>0</v>
      </c>
      <c r="Z910" s="2">
        <v>295</v>
      </c>
      <c r="AA910" s="2" t="s">
        <v>16</v>
      </c>
      <c r="AB910" s="2" t="s">
        <v>10</v>
      </c>
      <c r="AC910" s="2">
        <v>2</v>
      </c>
      <c r="AD910" s="3" t="s">
        <v>7439</v>
      </c>
      <c r="AE910" s="3" t="s">
        <v>1788</v>
      </c>
      <c r="AF910" s="3" t="s">
        <v>1380</v>
      </c>
      <c r="AG910" s="747">
        <v>44271</v>
      </c>
      <c r="AI910" s="747">
        <v>44348</v>
      </c>
      <c r="AJ910" s="1107" t="s">
        <v>37</v>
      </c>
    </row>
    <row r="911" spans="1:36" ht="77.25" x14ac:dyDescent="0.25">
      <c r="A911" s="488"/>
      <c r="B911" s="131"/>
      <c r="C911" s="75"/>
      <c r="D911" s="568"/>
      <c r="E911" s="568"/>
      <c r="F911" s="118"/>
      <c r="G911" s="118"/>
      <c r="H911" s="75"/>
      <c r="I911" s="118"/>
      <c r="J911" s="121"/>
      <c r="K911" s="188"/>
      <c r="L911" s="76"/>
      <c r="M911" s="943"/>
      <c r="N911" s="915"/>
      <c r="O911" s="75"/>
      <c r="P911" s="75"/>
      <c r="Q911" s="76"/>
      <c r="R911" s="77"/>
      <c r="S911" s="658" t="s">
        <v>91</v>
      </c>
      <c r="T911" s="337" t="s">
        <v>7296</v>
      </c>
      <c r="V911" s="2">
        <v>660</v>
      </c>
      <c r="W911" s="2">
        <v>733</v>
      </c>
      <c r="Y911" s="2">
        <v>327</v>
      </c>
      <c r="Z911" s="2">
        <v>502</v>
      </c>
      <c r="AA911" s="2" t="s">
        <v>16</v>
      </c>
      <c r="AB911" s="2" t="s">
        <v>10</v>
      </c>
      <c r="AC911" s="2">
        <v>2</v>
      </c>
      <c r="AD911" s="3" t="s">
        <v>7440</v>
      </c>
      <c r="AE911" s="3" t="s">
        <v>1788</v>
      </c>
      <c r="AF911" s="3" t="s">
        <v>1380</v>
      </c>
      <c r="AG911" s="747">
        <v>44271</v>
      </c>
      <c r="AI911" s="747">
        <v>44348</v>
      </c>
      <c r="AJ911" s="1107" t="s">
        <v>37</v>
      </c>
    </row>
    <row r="912" spans="1:36" ht="128.25" x14ac:dyDescent="0.25">
      <c r="A912" s="488"/>
      <c r="B912" s="131"/>
      <c r="C912" s="75"/>
      <c r="D912" s="568"/>
      <c r="E912" s="568"/>
      <c r="F912" s="118"/>
      <c r="G912" s="118"/>
      <c r="H912" s="75"/>
      <c r="I912" s="118"/>
      <c r="J912" s="121"/>
      <c r="K912" s="188"/>
      <c r="L912" s="76"/>
      <c r="M912" s="943"/>
      <c r="N912" s="915"/>
      <c r="O912" s="75"/>
      <c r="P912" s="75"/>
      <c r="Q912" s="76"/>
      <c r="R912" s="77"/>
      <c r="S912" s="658" t="s">
        <v>92</v>
      </c>
      <c r="T912" s="337" t="s">
        <v>7297</v>
      </c>
      <c r="U912" s="2">
        <v>3897</v>
      </c>
      <c r="X912" s="2">
        <v>3692</v>
      </c>
      <c r="AA912" s="2" t="s">
        <v>85</v>
      </c>
      <c r="AB912" s="2" t="s">
        <v>10</v>
      </c>
      <c r="AC912" s="2">
        <v>3</v>
      </c>
      <c r="AD912" s="3" t="s">
        <v>7441</v>
      </c>
      <c r="AE912" s="3" t="s">
        <v>1788</v>
      </c>
      <c r="AF912" s="3" t="s">
        <v>1380</v>
      </c>
      <c r="AG912" s="747">
        <v>44271</v>
      </c>
      <c r="AI912" s="747">
        <v>44348</v>
      </c>
      <c r="AJ912" s="1107" t="s">
        <v>37</v>
      </c>
    </row>
    <row r="913" spans="1:36" ht="65.25" thickBot="1" x14ac:dyDescent="0.3">
      <c r="A913" s="488"/>
      <c r="B913" s="131"/>
      <c r="C913" s="75"/>
      <c r="D913" s="568"/>
      <c r="E913" s="568"/>
      <c r="F913" s="118"/>
      <c r="G913" s="118"/>
      <c r="H913" s="75"/>
      <c r="I913" s="118"/>
      <c r="J913" s="121"/>
      <c r="K913" s="188"/>
      <c r="L913" s="76"/>
      <c r="M913" s="943"/>
      <c r="N913" s="915"/>
      <c r="O913" s="75"/>
      <c r="P913" s="75"/>
      <c r="Q913" s="76"/>
      <c r="R913" s="77"/>
      <c r="S913" s="658" t="s">
        <v>99</v>
      </c>
      <c r="T913" s="337" t="s">
        <v>7298</v>
      </c>
      <c r="V913" s="2">
        <v>3692</v>
      </c>
      <c r="W913" s="2">
        <v>3897</v>
      </c>
      <c r="AA913" s="2" t="s">
        <v>85</v>
      </c>
      <c r="AB913" s="2" t="s">
        <v>16</v>
      </c>
      <c r="AC913" s="2">
        <v>3</v>
      </c>
      <c r="AD913" s="3" t="s">
        <v>7442</v>
      </c>
      <c r="AE913" s="3" t="s">
        <v>1788</v>
      </c>
      <c r="AF913" s="3" t="s">
        <v>1380</v>
      </c>
      <c r="AG913" s="747">
        <v>44271</v>
      </c>
      <c r="AI913" s="747">
        <v>44348</v>
      </c>
      <c r="AJ913" s="1107" t="s">
        <v>37</v>
      </c>
    </row>
    <row r="914" spans="1:36" ht="77.25" x14ac:dyDescent="0.25">
      <c r="A914" s="488"/>
      <c r="B914" s="131"/>
      <c r="C914" s="75"/>
      <c r="D914" s="568"/>
      <c r="E914" s="568"/>
      <c r="F914" s="118"/>
      <c r="G914" s="118"/>
      <c r="H914" s="75"/>
      <c r="I914" s="118"/>
      <c r="J914" s="121"/>
      <c r="K914" s="187">
        <v>1227</v>
      </c>
      <c r="L914" s="73" t="s">
        <v>7299</v>
      </c>
      <c r="M914" s="942">
        <v>1816510.3055</v>
      </c>
      <c r="N914" s="914">
        <v>5496863.6139000002</v>
      </c>
      <c r="O914" s="72" t="s">
        <v>41</v>
      </c>
      <c r="P914" s="72">
        <v>2</v>
      </c>
      <c r="Q914" s="73" t="s">
        <v>2156</v>
      </c>
      <c r="R914" s="74" t="s">
        <v>2156</v>
      </c>
      <c r="S914" s="656" t="s">
        <v>47</v>
      </c>
      <c r="T914" s="340" t="s">
        <v>7300</v>
      </c>
      <c r="U914" s="31"/>
      <c r="V914" s="382">
        <v>318</v>
      </c>
      <c r="W914" s="382">
        <v>501</v>
      </c>
      <c r="X914" s="31"/>
      <c r="Y914" s="31"/>
      <c r="Z914" s="31"/>
      <c r="AA914" s="31" t="s">
        <v>85</v>
      </c>
      <c r="AB914" s="31" t="s">
        <v>10</v>
      </c>
      <c r="AC914" s="31">
        <v>3</v>
      </c>
      <c r="AD914" s="40" t="s">
        <v>7443</v>
      </c>
      <c r="AE914" s="40" t="s">
        <v>1788</v>
      </c>
      <c r="AF914" s="40" t="s">
        <v>1380</v>
      </c>
      <c r="AG914" s="744">
        <v>44271</v>
      </c>
      <c r="AH914" s="40"/>
      <c r="AI914" s="744">
        <v>44348</v>
      </c>
      <c r="AJ914" s="652" t="s">
        <v>37</v>
      </c>
    </row>
    <row r="915" spans="1:36" ht="90.75" thickBot="1" x14ac:dyDescent="0.3">
      <c r="A915" s="488"/>
      <c r="B915" s="131"/>
      <c r="C915" s="75"/>
      <c r="D915" s="568"/>
      <c r="E915" s="568"/>
      <c r="F915" s="118"/>
      <c r="G915" s="118"/>
      <c r="H915" s="75"/>
      <c r="I915" s="118"/>
      <c r="J915" s="121"/>
      <c r="K915" s="192"/>
      <c r="L915" s="79"/>
      <c r="M915" s="944"/>
      <c r="N915" s="916"/>
      <c r="O915" s="78"/>
      <c r="P915" s="78"/>
      <c r="Q915" s="79"/>
      <c r="R915" s="267"/>
      <c r="S915" s="657" t="s">
        <v>91</v>
      </c>
      <c r="T915" s="335" t="s">
        <v>7301</v>
      </c>
      <c r="U915" s="25"/>
      <c r="V915" s="411"/>
      <c r="W915" s="411"/>
      <c r="X915" s="25"/>
      <c r="Y915" s="411">
        <v>318</v>
      </c>
      <c r="Z915" s="411">
        <v>501</v>
      </c>
      <c r="AA915" s="25" t="s">
        <v>85</v>
      </c>
      <c r="AB915" s="25" t="s">
        <v>10</v>
      </c>
      <c r="AC915" s="25">
        <v>3</v>
      </c>
      <c r="AD915" s="52" t="s">
        <v>7444</v>
      </c>
      <c r="AE915" s="52" t="s">
        <v>1788</v>
      </c>
      <c r="AF915" s="52" t="s">
        <v>1380</v>
      </c>
      <c r="AG915" s="745">
        <v>44271</v>
      </c>
      <c r="AH915" s="52"/>
      <c r="AI915" s="745">
        <v>44348</v>
      </c>
      <c r="AJ915" s="653" t="s">
        <v>37</v>
      </c>
    </row>
    <row r="916" spans="1:36" ht="26.25" x14ac:dyDescent="0.25">
      <c r="A916" s="488"/>
      <c r="B916" s="131"/>
      <c r="C916" s="75"/>
      <c r="D916" s="568"/>
      <c r="E916" s="568"/>
      <c r="F916" s="118"/>
      <c r="G916" s="118"/>
      <c r="H916" s="75"/>
      <c r="I916" s="118"/>
      <c r="J916" s="121"/>
      <c r="K916" s="187" t="s">
        <v>2156</v>
      </c>
      <c r="L916" s="73" t="s">
        <v>7302</v>
      </c>
      <c r="M916" s="942" t="s">
        <v>2156</v>
      </c>
      <c r="N916" s="914" t="s">
        <v>2156</v>
      </c>
      <c r="O916" s="72" t="s">
        <v>7303</v>
      </c>
      <c r="P916" s="140" t="s">
        <v>5802</v>
      </c>
      <c r="Q916" s="73" t="s">
        <v>7304</v>
      </c>
      <c r="R916" s="74" t="s">
        <v>85</v>
      </c>
      <c r="S916" s="658" t="s">
        <v>47</v>
      </c>
      <c r="T916" s="337" t="s">
        <v>7295</v>
      </c>
      <c r="V916" s="2">
        <v>327</v>
      </c>
      <c r="W916" s="2">
        <v>502</v>
      </c>
      <c r="Y916" s="2">
        <v>0</v>
      </c>
      <c r="Z916" s="2">
        <v>295</v>
      </c>
      <c r="AA916" s="2" t="s">
        <v>16</v>
      </c>
      <c r="AB916" s="2" t="s">
        <v>10</v>
      </c>
      <c r="AC916" s="2">
        <v>2</v>
      </c>
      <c r="AD916" s="3" t="s">
        <v>7305</v>
      </c>
      <c r="AE916" s="3" t="s">
        <v>1788</v>
      </c>
      <c r="AF916" s="3" t="s">
        <v>1380</v>
      </c>
      <c r="AG916" s="747">
        <v>44271</v>
      </c>
      <c r="AI916" s="747">
        <v>44222</v>
      </c>
      <c r="AJ916" s="1107" t="s">
        <v>37</v>
      </c>
    </row>
    <row r="917" spans="1:36" ht="51.75" x14ac:dyDescent="0.25">
      <c r="A917" s="488"/>
      <c r="B917" s="131"/>
      <c r="C917" s="75"/>
      <c r="D917" s="568"/>
      <c r="E917" s="568"/>
      <c r="F917" s="118"/>
      <c r="G917" s="118"/>
      <c r="H917" s="75"/>
      <c r="I917" s="118"/>
      <c r="J917" s="121"/>
      <c r="K917" s="188"/>
      <c r="L917" s="76"/>
      <c r="M917" s="943"/>
      <c r="N917" s="915"/>
      <c r="O917" s="75"/>
      <c r="P917" s="75"/>
      <c r="Q917" s="76"/>
      <c r="R917" s="77"/>
      <c r="S917" s="658" t="s">
        <v>91</v>
      </c>
      <c r="T917" s="337" t="s">
        <v>7306</v>
      </c>
      <c r="V917" s="2">
        <v>660</v>
      </c>
      <c r="W917" s="2">
        <v>733</v>
      </c>
      <c r="Y917" s="2">
        <v>672</v>
      </c>
      <c r="Z917" s="2">
        <v>767</v>
      </c>
      <c r="AA917" s="2" t="s">
        <v>85</v>
      </c>
      <c r="AB917" s="2" t="s">
        <v>10</v>
      </c>
      <c r="AC917" s="148" t="s">
        <v>1625</v>
      </c>
      <c r="AD917" s="3" t="s">
        <v>7307</v>
      </c>
      <c r="AE917" s="3" t="s">
        <v>1788</v>
      </c>
      <c r="AF917" s="3" t="s">
        <v>1380</v>
      </c>
      <c r="AG917" s="747">
        <v>44271</v>
      </c>
      <c r="AI917" s="747">
        <v>44222</v>
      </c>
      <c r="AJ917" s="1107" t="s">
        <v>37</v>
      </c>
    </row>
    <row r="918" spans="1:36" ht="39" x14ac:dyDescent="0.25">
      <c r="A918" s="488"/>
      <c r="B918" s="131"/>
      <c r="C918" s="75"/>
      <c r="D918" s="568"/>
      <c r="E918" s="568"/>
      <c r="F918" s="118"/>
      <c r="G918" s="118"/>
      <c r="H918" s="75"/>
      <c r="I918" s="118"/>
      <c r="J918" s="121"/>
      <c r="K918" s="188"/>
      <c r="L918" s="76"/>
      <c r="M918" s="943"/>
      <c r="N918" s="915"/>
      <c r="O918" s="75"/>
      <c r="P918" s="75"/>
      <c r="Q918" s="76"/>
      <c r="R918" s="77"/>
      <c r="S918" s="658" t="s">
        <v>92</v>
      </c>
      <c r="T918" s="337" t="s">
        <v>7308</v>
      </c>
      <c r="V918" s="2">
        <v>1828</v>
      </c>
      <c r="W918" s="2">
        <v>1993</v>
      </c>
      <c r="Y918" s="2">
        <v>1697</v>
      </c>
      <c r="Z918" s="2">
        <v>1870</v>
      </c>
      <c r="AA918" s="2" t="s">
        <v>16</v>
      </c>
      <c r="AB918" s="2" t="s">
        <v>10</v>
      </c>
      <c r="AC918" s="2">
        <v>2</v>
      </c>
      <c r="AD918" s="3" t="s">
        <v>7309</v>
      </c>
      <c r="AE918" s="3" t="s">
        <v>1788</v>
      </c>
      <c r="AF918" s="3" t="s">
        <v>1380</v>
      </c>
      <c r="AG918" s="747">
        <v>44271</v>
      </c>
      <c r="AI918" s="747">
        <v>44222</v>
      </c>
      <c r="AJ918" s="1107" t="s">
        <v>37</v>
      </c>
    </row>
    <row r="919" spans="1:36" ht="64.5" x14ac:dyDescent="0.25">
      <c r="A919" s="488"/>
      <c r="B919" s="131"/>
      <c r="C919" s="75"/>
      <c r="D919" s="568"/>
      <c r="E919" s="568"/>
      <c r="F919" s="118"/>
      <c r="G919" s="118"/>
      <c r="H919" s="75"/>
      <c r="I919" s="118"/>
      <c r="J919" s="121"/>
      <c r="K919" s="188"/>
      <c r="L919" s="76"/>
      <c r="M919" s="943"/>
      <c r="N919" s="915"/>
      <c r="O919" s="75"/>
      <c r="P919" s="75"/>
      <c r="Q919" s="76"/>
      <c r="R919" s="77"/>
      <c r="S919" s="658" t="s">
        <v>99</v>
      </c>
      <c r="T919" s="337" t="s">
        <v>7310</v>
      </c>
      <c r="AA919" s="2" t="s">
        <v>85</v>
      </c>
      <c r="AB919" s="2" t="s">
        <v>16</v>
      </c>
      <c r="AC919" s="148" t="s">
        <v>1625</v>
      </c>
      <c r="AD919" s="3" t="s">
        <v>7311</v>
      </c>
      <c r="AE919" s="3" t="s">
        <v>1788</v>
      </c>
      <c r="AF919" s="3" t="s">
        <v>1380</v>
      </c>
      <c r="AG919" s="747">
        <v>44271</v>
      </c>
      <c r="AI919" s="747">
        <v>44222</v>
      </c>
      <c r="AJ919" s="1107" t="s">
        <v>37</v>
      </c>
    </row>
    <row r="920" spans="1:36" ht="27" thickBot="1" x14ac:dyDescent="0.3">
      <c r="A920" s="488"/>
      <c r="B920" s="131"/>
      <c r="C920" s="75"/>
      <c r="D920" s="568"/>
      <c r="E920" s="568"/>
      <c r="F920" s="118"/>
      <c r="G920" s="118"/>
      <c r="H920" s="75"/>
      <c r="I920" s="118"/>
      <c r="J920" s="121"/>
      <c r="K920" s="192"/>
      <c r="L920" s="79"/>
      <c r="M920" s="944"/>
      <c r="N920" s="916"/>
      <c r="O920" s="78"/>
      <c r="P920" s="78"/>
      <c r="Q920" s="79"/>
      <c r="R920" s="80"/>
      <c r="S920" s="657" t="s">
        <v>100</v>
      </c>
      <c r="T920" s="335" t="s">
        <v>7312</v>
      </c>
      <c r="U920" s="25"/>
      <c r="V920" s="25"/>
      <c r="W920" s="25"/>
      <c r="X920" s="25"/>
      <c r="Y920" s="25"/>
      <c r="Z920" s="25"/>
      <c r="AA920" s="25" t="s">
        <v>85</v>
      </c>
      <c r="AB920" s="25" t="s">
        <v>16</v>
      </c>
      <c r="AC920" s="105" t="s">
        <v>1625</v>
      </c>
      <c r="AD920" s="52" t="s">
        <v>7313</v>
      </c>
      <c r="AE920" s="52" t="s">
        <v>1788</v>
      </c>
      <c r="AF920" s="52" t="s">
        <v>1380</v>
      </c>
      <c r="AG920" s="745">
        <v>44271</v>
      </c>
      <c r="AH920" s="52"/>
      <c r="AI920" s="745">
        <v>44222</v>
      </c>
      <c r="AJ920" s="653" t="s">
        <v>37</v>
      </c>
    </row>
    <row r="921" spans="1:36" ht="77.25" x14ac:dyDescent="0.25">
      <c r="A921" s="488"/>
      <c r="B921" s="131"/>
      <c r="C921" s="75"/>
      <c r="D921" s="568"/>
      <c r="E921" s="568"/>
      <c r="F921" s="118"/>
      <c r="G921" s="118"/>
      <c r="H921" s="75"/>
      <c r="I921" s="118"/>
      <c r="J921" s="121"/>
      <c r="K921" s="188" t="s">
        <v>2156</v>
      </c>
      <c r="L921" s="76" t="s">
        <v>7230</v>
      </c>
      <c r="M921" s="915" t="s">
        <v>2156</v>
      </c>
      <c r="N921" s="915" t="s">
        <v>2156</v>
      </c>
      <c r="O921" s="118" t="s">
        <v>7231</v>
      </c>
      <c r="P921" s="75">
        <v>4</v>
      </c>
      <c r="Q921" s="76" t="s">
        <v>7232</v>
      </c>
      <c r="R921" s="77" t="s">
        <v>16</v>
      </c>
      <c r="S921" s="658" t="s">
        <v>47</v>
      </c>
      <c r="T921" s="337" t="s">
        <v>7233</v>
      </c>
      <c r="U921" s="2">
        <v>280</v>
      </c>
      <c r="X921" s="2">
        <v>150</v>
      </c>
      <c r="AA921" s="2" t="s">
        <v>16</v>
      </c>
      <c r="AB921" s="2" t="s">
        <v>10</v>
      </c>
      <c r="AC921" s="2">
        <v>2</v>
      </c>
      <c r="AD921" s="3" t="s">
        <v>7234</v>
      </c>
      <c r="AE921" s="3" t="s">
        <v>7235</v>
      </c>
      <c r="AF921" s="3" t="s">
        <v>1380</v>
      </c>
      <c r="AG921" s="747">
        <v>44218</v>
      </c>
      <c r="AI921" s="747">
        <v>44218</v>
      </c>
      <c r="AJ921" s="1131" t="s">
        <v>37</v>
      </c>
    </row>
    <row r="922" spans="1:36" ht="64.5" x14ac:dyDescent="0.25">
      <c r="A922" s="488"/>
      <c r="B922" s="131"/>
      <c r="C922" s="75"/>
      <c r="D922" s="568"/>
      <c r="E922" s="568"/>
      <c r="F922" s="118"/>
      <c r="G922" s="118"/>
      <c r="H922" s="75"/>
      <c r="I922" s="118"/>
      <c r="J922" s="121"/>
      <c r="K922" s="188"/>
      <c r="L922" s="76"/>
      <c r="M922" s="915"/>
      <c r="N922" s="915"/>
      <c r="O922" s="75"/>
      <c r="P922" s="75"/>
      <c r="Q922" s="76"/>
      <c r="R922" s="77"/>
      <c r="S922" s="658" t="s">
        <v>91</v>
      </c>
      <c r="T922" s="337" t="s">
        <v>7236</v>
      </c>
      <c r="U922" s="2">
        <v>1260</v>
      </c>
      <c r="X922" s="2">
        <v>780</v>
      </c>
      <c r="AA922" s="2" t="s">
        <v>85</v>
      </c>
      <c r="AB922" s="2" t="s">
        <v>16</v>
      </c>
      <c r="AC922" s="2">
        <v>3</v>
      </c>
      <c r="AD922" s="3" t="s">
        <v>7237</v>
      </c>
      <c r="AE922" s="3" t="s">
        <v>7556</v>
      </c>
      <c r="AF922" s="3" t="s">
        <v>1380</v>
      </c>
      <c r="AG922" s="747">
        <v>44218</v>
      </c>
      <c r="AI922" s="747">
        <v>44218</v>
      </c>
      <c r="AJ922" s="1131" t="s">
        <v>37</v>
      </c>
    </row>
    <row r="923" spans="1:36" ht="51.75" x14ac:dyDescent="0.25">
      <c r="A923" s="488"/>
      <c r="B923" s="131"/>
      <c r="C923" s="75"/>
      <c r="D923" s="568"/>
      <c r="E923" s="568"/>
      <c r="F923" s="118"/>
      <c r="G923" s="118"/>
      <c r="H923" s="75"/>
      <c r="I923" s="118"/>
      <c r="J923" s="121"/>
      <c r="K923" s="188"/>
      <c r="L923" s="76"/>
      <c r="M923" s="915"/>
      <c r="N923" s="915"/>
      <c r="O923" s="75"/>
      <c r="P923" s="75"/>
      <c r="Q923" s="76"/>
      <c r="R923" s="77"/>
      <c r="S923" s="658" t="s">
        <v>7023</v>
      </c>
      <c r="T923" s="337" t="s">
        <v>7238</v>
      </c>
      <c r="U923" s="2">
        <v>2350</v>
      </c>
      <c r="X923" s="2">
        <v>1885</v>
      </c>
      <c r="AA923" s="2" t="s">
        <v>16</v>
      </c>
      <c r="AB923" s="2" t="s">
        <v>16</v>
      </c>
      <c r="AC923" s="2">
        <v>2</v>
      </c>
      <c r="AD923" s="3" t="s">
        <v>7239</v>
      </c>
      <c r="AE923" s="3" t="s">
        <v>7240</v>
      </c>
      <c r="AF923" s="3" t="s">
        <v>1380</v>
      </c>
      <c r="AG923" s="747">
        <v>44218</v>
      </c>
      <c r="AI923" s="747">
        <v>44218</v>
      </c>
      <c r="AJ923" s="1131" t="s">
        <v>37</v>
      </c>
    </row>
    <row r="924" spans="1:36" ht="39.75" thickBot="1" x14ac:dyDescent="0.3">
      <c r="A924" s="489"/>
      <c r="B924" s="133"/>
      <c r="C924" s="78"/>
      <c r="D924" s="569"/>
      <c r="E924" s="569"/>
      <c r="F924" s="119"/>
      <c r="G924" s="119"/>
      <c r="H924" s="78"/>
      <c r="I924" s="119"/>
      <c r="J924" s="429"/>
      <c r="K924" s="192"/>
      <c r="L924" s="79"/>
      <c r="M924" s="916"/>
      <c r="N924" s="916"/>
      <c r="O924" s="78"/>
      <c r="P924" s="78"/>
      <c r="Q924" s="79"/>
      <c r="R924" s="80"/>
      <c r="S924" s="657" t="s">
        <v>99</v>
      </c>
      <c r="T924" s="335" t="s">
        <v>7241</v>
      </c>
      <c r="U924" s="25">
        <v>4090</v>
      </c>
      <c r="V924" s="25"/>
      <c r="W924" s="25"/>
      <c r="X924" s="25">
        <v>3550</v>
      </c>
      <c r="Y924" s="25"/>
      <c r="Z924" s="25"/>
      <c r="AA924" s="25" t="s">
        <v>16</v>
      </c>
      <c r="AB924" s="25" t="s">
        <v>16</v>
      </c>
      <c r="AC924" s="25">
        <v>2</v>
      </c>
      <c r="AD924" s="3" t="s">
        <v>7242</v>
      </c>
      <c r="AE924" s="52" t="s">
        <v>7240</v>
      </c>
      <c r="AF924" s="52" t="s">
        <v>1380</v>
      </c>
      <c r="AG924" s="745">
        <v>44218</v>
      </c>
      <c r="AH924" s="52"/>
      <c r="AI924" s="745">
        <v>44218</v>
      </c>
      <c r="AJ924" s="1132" t="s">
        <v>37</v>
      </c>
    </row>
    <row r="925" spans="1:36" ht="39" x14ac:dyDescent="0.25">
      <c r="A925" s="341" t="s">
        <v>2768</v>
      </c>
      <c r="B925" s="181" t="s">
        <v>6834</v>
      </c>
      <c r="C925" s="125">
        <v>267</v>
      </c>
      <c r="D925" s="585" t="s">
        <v>57</v>
      </c>
      <c r="E925" s="585" t="s">
        <v>53</v>
      </c>
      <c r="F925" s="126"/>
      <c r="G925" s="126"/>
      <c r="H925" s="125"/>
      <c r="I925" s="126"/>
      <c r="J925" s="247"/>
      <c r="K925" s="189">
        <v>845</v>
      </c>
      <c r="L925" s="355" t="s">
        <v>4854</v>
      </c>
      <c r="M925" s="911">
        <v>1951836.3399</v>
      </c>
      <c r="N925" s="911">
        <v>5771272.4347999999</v>
      </c>
      <c r="O925" s="125">
        <v>3100</v>
      </c>
      <c r="P925" s="125">
        <v>5</v>
      </c>
      <c r="Q925" s="355" t="s">
        <v>7880</v>
      </c>
      <c r="R925" s="134" t="s">
        <v>2156</v>
      </c>
      <c r="S925" s="38" t="s">
        <v>47</v>
      </c>
      <c r="T925" s="39" t="s">
        <v>4855</v>
      </c>
      <c r="U925" s="31">
        <v>4713</v>
      </c>
      <c r="V925" s="31">
        <f>4713-133</f>
        <v>4580</v>
      </c>
      <c r="W925" s="31">
        <f>4716+133</f>
        <v>4849</v>
      </c>
      <c r="X925" s="31">
        <v>523</v>
      </c>
      <c r="Y925" s="31">
        <f>523-27</f>
        <v>496</v>
      </c>
      <c r="Z925" s="31">
        <f>523+27</f>
        <v>550</v>
      </c>
      <c r="AA925" s="31" t="s">
        <v>16</v>
      </c>
      <c r="AB925" s="31" t="s">
        <v>10</v>
      </c>
      <c r="AC925" s="31">
        <v>2</v>
      </c>
      <c r="AD925" s="40" t="s">
        <v>4856</v>
      </c>
      <c r="AE925" s="40" t="s">
        <v>7908</v>
      </c>
      <c r="AF925" s="40" t="s">
        <v>37</v>
      </c>
      <c r="AG925" s="744">
        <v>44347</v>
      </c>
      <c r="AH925" s="40"/>
      <c r="AI925" s="31"/>
      <c r="AJ925" s="652"/>
    </row>
    <row r="926" spans="1:36" ht="51.75" x14ac:dyDescent="0.25">
      <c r="A926" s="339"/>
      <c r="B926" s="116"/>
      <c r="C926" s="95"/>
      <c r="D926" s="567"/>
      <c r="E926" s="567"/>
      <c r="F926" s="108"/>
      <c r="G926" s="108"/>
      <c r="H926" s="95"/>
      <c r="I926" s="108"/>
      <c r="J926" s="122"/>
      <c r="K926" s="191"/>
      <c r="L926" s="359"/>
      <c r="M926" s="913"/>
      <c r="N926" s="913"/>
      <c r="O926" s="95"/>
      <c r="P926" s="95"/>
      <c r="Q926" s="359"/>
      <c r="R926" s="98"/>
      <c r="S926" s="42" t="s">
        <v>91</v>
      </c>
      <c r="T926" s="43" t="s">
        <v>4857</v>
      </c>
      <c r="U926" s="24">
        <v>9500</v>
      </c>
      <c r="V926" s="24"/>
      <c r="W926" s="24"/>
      <c r="X926" s="24">
        <v>4716</v>
      </c>
      <c r="Y926" s="24">
        <f>4713-133</f>
        <v>4580</v>
      </c>
      <c r="Z926" s="24">
        <f>4716+133</f>
        <v>4849</v>
      </c>
      <c r="AA926" s="24" t="s">
        <v>16</v>
      </c>
      <c r="AB926" s="24" t="s">
        <v>10</v>
      </c>
      <c r="AC926" s="24">
        <v>2</v>
      </c>
      <c r="AD926" s="46" t="s">
        <v>4858</v>
      </c>
      <c r="AE926" s="46" t="s">
        <v>4859</v>
      </c>
      <c r="AF926" s="46" t="s">
        <v>37</v>
      </c>
      <c r="AG926" s="746">
        <v>44347</v>
      </c>
      <c r="AH926" s="46"/>
      <c r="AI926" s="24"/>
      <c r="AJ926" s="1107"/>
    </row>
    <row r="927" spans="1:36" ht="39" x14ac:dyDescent="0.25">
      <c r="A927" s="339"/>
      <c r="B927" s="116"/>
      <c r="C927" s="95"/>
      <c r="D927" s="567"/>
      <c r="E927" s="567"/>
      <c r="F927" s="108"/>
      <c r="G927" s="108"/>
      <c r="H927" s="95"/>
      <c r="I927" s="108"/>
      <c r="J927" s="122"/>
      <c r="K927" s="191"/>
      <c r="L927" s="359"/>
      <c r="M927" s="913"/>
      <c r="N927" s="913"/>
      <c r="O927" s="95"/>
      <c r="P927" s="95"/>
      <c r="Q927" s="359"/>
      <c r="R927" s="98"/>
      <c r="S927" s="42" t="s">
        <v>92</v>
      </c>
      <c r="T927" s="43" t="s">
        <v>4860</v>
      </c>
      <c r="U927" s="24">
        <v>13800</v>
      </c>
      <c r="V927" s="24"/>
      <c r="W927" s="24"/>
      <c r="X927" s="24">
        <v>9500</v>
      </c>
      <c r="Y927" s="24"/>
      <c r="Z927" s="24"/>
      <c r="AA927" s="24" t="s">
        <v>16</v>
      </c>
      <c r="AB927" s="24" t="s">
        <v>10</v>
      </c>
      <c r="AC927" s="24">
        <v>2</v>
      </c>
      <c r="AD927" s="46" t="s">
        <v>4861</v>
      </c>
      <c r="AE927" s="46" t="s">
        <v>4859</v>
      </c>
      <c r="AF927" s="46" t="s">
        <v>37</v>
      </c>
      <c r="AG927" s="746">
        <v>44347</v>
      </c>
      <c r="AH927" s="46"/>
      <c r="AI927" s="24"/>
      <c r="AJ927" s="1107"/>
    </row>
    <row r="928" spans="1:36" ht="64.5" x14ac:dyDescent="0.25">
      <c r="A928" s="339"/>
      <c r="B928" s="116"/>
      <c r="C928" s="95"/>
      <c r="D928" s="567"/>
      <c r="E928" s="567"/>
      <c r="F928" s="108"/>
      <c r="G928" s="108"/>
      <c r="H928" s="95"/>
      <c r="I928" s="108"/>
      <c r="J928" s="122"/>
      <c r="K928" s="191"/>
      <c r="L928" s="359"/>
      <c r="M928" s="913"/>
      <c r="N928" s="913"/>
      <c r="O928" s="95"/>
      <c r="P928" s="95"/>
      <c r="Q928" s="359"/>
      <c r="R928" s="98"/>
      <c r="S928" s="42" t="s">
        <v>99</v>
      </c>
      <c r="T928" s="43" t="s">
        <v>4862</v>
      </c>
      <c r="U928" s="24">
        <v>30000</v>
      </c>
      <c r="V928" s="24"/>
      <c r="W928" s="24"/>
      <c r="X928" s="24">
        <v>13800</v>
      </c>
      <c r="Y928" s="24"/>
      <c r="Z928" s="24"/>
      <c r="AA928" s="24" t="s">
        <v>16</v>
      </c>
      <c r="AB928" s="24" t="s">
        <v>10</v>
      </c>
      <c r="AC928" s="24">
        <v>2</v>
      </c>
      <c r="AD928" s="46" t="s">
        <v>4863</v>
      </c>
      <c r="AE928" s="46" t="s">
        <v>4859</v>
      </c>
      <c r="AF928" s="46" t="s">
        <v>37</v>
      </c>
      <c r="AG928" s="746">
        <v>44347</v>
      </c>
      <c r="AH928" s="46"/>
      <c r="AI928" s="24"/>
      <c r="AJ928" s="1107"/>
    </row>
    <row r="929" spans="1:36" ht="52.5" thickBot="1" x14ac:dyDescent="0.3">
      <c r="A929" s="339"/>
      <c r="B929" s="116"/>
      <c r="C929" s="95"/>
      <c r="D929" s="567"/>
      <c r="E929" s="567"/>
      <c r="F929" s="108"/>
      <c r="G929" s="108"/>
      <c r="H929" s="95"/>
      <c r="I929" s="108"/>
      <c r="J929" s="122"/>
      <c r="K929" s="190"/>
      <c r="L929" s="357"/>
      <c r="M929" s="912"/>
      <c r="N929" s="912"/>
      <c r="O929" s="96"/>
      <c r="P929" s="96"/>
      <c r="Q929" s="357"/>
      <c r="R929" s="100"/>
      <c r="S929" s="48" t="s">
        <v>100</v>
      </c>
      <c r="T929" s="49" t="s">
        <v>4864</v>
      </c>
      <c r="U929" s="25">
        <v>50000</v>
      </c>
      <c r="V929" s="25"/>
      <c r="W929" s="25"/>
      <c r="X929" s="25">
        <v>30000</v>
      </c>
      <c r="Y929" s="25"/>
      <c r="Z929" s="25"/>
      <c r="AA929" s="25" t="s">
        <v>16</v>
      </c>
      <c r="AB929" s="25" t="s">
        <v>10</v>
      </c>
      <c r="AC929" s="25">
        <v>2</v>
      </c>
      <c r="AD929" s="52" t="s">
        <v>4870</v>
      </c>
      <c r="AE929" s="52" t="s">
        <v>4859</v>
      </c>
      <c r="AF929" s="52" t="s">
        <v>37</v>
      </c>
      <c r="AG929" s="745">
        <v>44347</v>
      </c>
      <c r="AH929" s="52"/>
      <c r="AI929" s="25"/>
      <c r="AJ929" s="653"/>
    </row>
    <row r="930" spans="1:36" ht="52.5" thickBot="1" x14ac:dyDescent="0.3">
      <c r="A930" s="339"/>
      <c r="B930" s="116"/>
      <c r="C930" s="95"/>
      <c r="D930" s="567"/>
      <c r="E930" s="567"/>
      <c r="F930" s="108"/>
      <c r="G930" s="108"/>
      <c r="H930" s="95"/>
      <c r="I930" s="108"/>
      <c r="J930" s="122"/>
      <c r="K930" s="89">
        <v>846</v>
      </c>
      <c r="L930" s="396" t="s">
        <v>4865</v>
      </c>
      <c r="M930" s="265">
        <v>1950252.6577999999</v>
      </c>
      <c r="N930" s="265">
        <v>5757844.4276000001</v>
      </c>
      <c r="O930" s="84" t="s">
        <v>41</v>
      </c>
      <c r="P930" s="84">
        <v>1</v>
      </c>
      <c r="Q930" s="396" t="s">
        <v>2156</v>
      </c>
      <c r="R930" s="90" t="s">
        <v>2156</v>
      </c>
      <c r="S930" s="428" t="s">
        <v>47</v>
      </c>
      <c r="T930" s="243" t="s">
        <v>4866</v>
      </c>
      <c r="U930" s="86">
        <v>794</v>
      </c>
      <c r="V930" s="86">
        <f>794-126</f>
        <v>668</v>
      </c>
      <c r="W930" s="86">
        <f>794+126</f>
        <v>920</v>
      </c>
      <c r="X930" s="86"/>
      <c r="Y930" s="86"/>
      <c r="Z930" s="86"/>
      <c r="AA930" s="86" t="s">
        <v>85</v>
      </c>
      <c r="AB930" s="86" t="s">
        <v>10</v>
      </c>
      <c r="AC930" s="86">
        <v>3</v>
      </c>
      <c r="AD930" s="92" t="s">
        <v>4867</v>
      </c>
      <c r="AE930" s="92" t="s">
        <v>7908</v>
      </c>
      <c r="AF930" s="92" t="s">
        <v>37</v>
      </c>
      <c r="AG930" s="744">
        <v>44347</v>
      </c>
      <c r="AH930" s="92"/>
      <c r="AI930" s="86"/>
      <c r="AJ930" s="1108"/>
    </row>
    <row r="931" spans="1:36" ht="39.75" thickBot="1" x14ac:dyDescent="0.3">
      <c r="A931" s="336"/>
      <c r="B931" s="196"/>
      <c r="C931" s="96"/>
      <c r="D931" s="566"/>
      <c r="E931" s="566"/>
      <c r="F931" s="107"/>
      <c r="G931" s="107"/>
      <c r="H931" s="96"/>
      <c r="I931" s="107"/>
      <c r="J931" s="123"/>
      <c r="K931" s="189">
        <v>964</v>
      </c>
      <c r="L931" s="355" t="s">
        <v>7002</v>
      </c>
      <c r="M931" s="911">
        <v>1951820.6756</v>
      </c>
      <c r="N931" s="911">
        <v>5770969.7034</v>
      </c>
      <c r="O931" s="125" t="s">
        <v>41</v>
      </c>
      <c r="P931" s="125">
        <v>1</v>
      </c>
      <c r="Q931" s="355" t="s">
        <v>2156</v>
      </c>
      <c r="R931" s="134" t="s">
        <v>2156</v>
      </c>
      <c r="S931" s="428" t="s">
        <v>47</v>
      </c>
      <c r="T931" s="39" t="s">
        <v>7003</v>
      </c>
      <c r="U931" s="31">
        <v>627</v>
      </c>
      <c r="V931" s="31">
        <f>627-94</f>
        <v>533</v>
      </c>
      <c r="W931" s="31">
        <f>627+94</f>
        <v>721</v>
      </c>
      <c r="X931" s="31">
        <v>620</v>
      </c>
      <c r="Y931" s="31">
        <f>620-120</f>
        <v>500</v>
      </c>
      <c r="Z931" s="31">
        <f>620+120</f>
        <v>740</v>
      </c>
      <c r="AA931" s="31" t="s">
        <v>16</v>
      </c>
      <c r="AB931" s="31" t="s">
        <v>10</v>
      </c>
      <c r="AC931" s="31">
        <v>2</v>
      </c>
      <c r="AD931" s="40" t="s">
        <v>7004</v>
      </c>
      <c r="AE931" s="40" t="s">
        <v>6997</v>
      </c>
      <c r="AF931" s="40" t="s">
        <v>37</v>
      </c>
      <c r="AG931" s="744">
        <v>44347</v>
      </c>
      <c r="AH931" s="40"/>
      <c r="AI931" s="31"/>
      <c r="AJ931" s="652"/>
    </row>
    <row r="932" spans="1:36" ht="52.5" thickBot="1" x14ac:dyDescent="0.3">
      <c r="A932" s="487" t="s">
        <v>2768</v>
      </c>
      <c r="B932" s="128" t="s">
        <v>6835</v>
      </c>
      <c r="C932" s="72">
        <v>268</v>
      </c>
      <c r="D932" s="586" t="s">
        <v>53</v>
      </c>
      <c r="E932" s="586" t="s">
        <v>57</v>
      </c>
      <c r="F932" s="129"/>
      <c r="G932" s="129"/>
      <c r="H932" s="72"/>
      <c r="I932" s="129"/>
      <c r="J932" s="381"/>
      <c r="K932" s="187">
        <v>847</v>
      </c>
      <c r="L932" s="73" t="s">
        <v>4868</v>
      </c>
      <c r="M932" s="914">
        <v>1945590.0433</v>
      </c>
      <c r="N932" s="914">
        <v>5718799.6520999996</v>
      </c>
      <c r="O932" s="72" t="s">
        <v>41</v>
      </c>
      <c r="P932" s="72">
        <v>2</v>
      </c>
      <c r="Q932" s="73" t="s">
        <v>2156</v>
      </c>
      <c r="R932" s="74" t="s">
        <v>2156</v>
      </c>
      <c r="S932" s="38" t="s">
        <v>47</v>
      </c>
      <c r="T932" s="39" t="s">
        <v>4869</v>
      </c>
      <c r="U932" s="31">
        <v>1800</v>
      </c>
      <c r="V932" s="31"/>
      <c r="W932" s="31"/>
      <c r="X932" s="31">
        <v>800</v>
      </c>
      <c r="Y932" s="31"/>
      <c r="Z932" s="31"/>
      <c r="AA932" s="31" t="s">
        <v>16</v>
      </c>
      <c r="AB932" s="31" t="s">
        <v>16</v>
      </c>
      <c r="AC932" s="31">
        <v>2</v>
      </c>
      <c r="AD932" s="40" t="s">
        <v>4871</v>
      </c>
      <c r="AE932" s="40" t="s">
        <v>7908</v>
      </c>
      <c r="AF932" s="40" t="s">
        <v>37</v>
      </c>
      <c r="AG932" s="744">
        <v>44347</v>
      </c>
      <c r="AH932" s="40"/>
      <c r="AI932" s="31"/>
      <c r="AJ932" s="652"/>
    </row>
    <row r="933" spans="1:36" ht="52.5" thickBot="1" x14ac:dyDescent="0.3">
      <c r="A933" s="488"/>
      <c r="B933" s="131"/>
      <c r="C933" s="75"/>
      <c r="D933" s="568"/>
      <c r="E933" s="568"/>
      <c r="F933" s="118"/>
      <c r="G933" s="118"/>
      <c r="H933" s="75"/>
      <c r="I933" s="118"/>
      <c r="J933" s="121"/>
      <c r="K933" s="192"/>
      <c r="L933" s="79"/>
      <c r="M933" s="916"/>
      <c r="N933" s="916"/>
      <c r="O933" s="78"/>
      <c r="P933" s="78"/>
      <c r="Q933" s="79"/>
      <c r="R933" s="80"/>
      <c r="S933" s="48" t="s">
        <v>91</v>
      </c>
      <c r="T933" s="49" t="s">
        <v>4873</v>
      </c>
      <c r="U933" s="25">
        <v>3500</v>
      </c>
      <c r="V933" s="25"/>
      <c r="W933" s="25"/>
      <c r="X933" s="25">
        <v>1800</v>
      </c>
      <c r="Y933" s="25"/>
      <c r="Z933" s="25"/>
      <c r="AA933" s="25" t="s">
        <v>16</v>
      </c>
      <c r="AB933" s="25" t="s">
        <v>16</v>
      </c>
      <c r="AC933" s="25">
        <v>2</v>
      </c>
      <c r="AD933" s="52" t="s">
        <v>4872</v>
      </c>
      <c r="AE933" s="52" t="s">
        <v>4859</v>
      </c>
      <c r="AF933" s="52" t="s">
        <v>37</v>
      </c>
      <c r="AG933" s="744">
        <v>44347</v>
      </c>
      <c r="AH933" s="52"/>
      <c r="AI933" s="25"/>
      <c r="AJ933" s="653"/>
    </row>
    <row r="934" spans="1:36" ht="102.75" x14ac:dyDescent="0.25">
      <c r="A934" s="488"/>
      <c r="B934" s="131"/>
      <c r="C934" s="75"/>
      <c r="D934" s="568"/>
      <c r="E934" s="568"/>
      <c r="F934" s="118"/>
      <c r="G934" s="118"/>
      <c r="H934" s="75"/>
      <c r="I934" s="118"/>
      <c r="J934" s="121"/>
      <c r="K934" s="187">
        <v>848</v>
      </c>
      <c r="L934" s="73" t="s">
        <v>4874</v>
      </c>
      <c r="M934" s="914">
        <v>1945552.7008</v>
      </c>
      <c r="N934" s="914">
        <v>5718725.7452999996</v>
      </c>
      <c r="O934" s="72">
        <v>2400</v>
      </c>
      <c r="P934" s="72">
        <v>4</v>
      </c>
      <c r="Q934" s="73" t="s">
        <v>7880</v>
      </c>
      <c r="R934" s="74" t="s">
        <v>85</v>
      </c>
      <c r="S934" s="38" t="s">
        <v>47</v>
      </c>
      <c r="T934" s="39" t="s">
        <v>4875</v>
      </c>
      <c r="U934" s="31">
        <v>1800</v>
      </c>
      <c r="V934" s="31"/>
      <c r="W934" s="31"/>
      <c r="X934" s="31">
        <v>833</v>
      </c>
      <c r="Y934" s="31">
        <f>833-97</f>
        <v>736</v>
      </c>
      <c r="Z934" s="31">
        <f>833+97</f>
        <v>930</v>
      </c>
      <c r="AA934" s="31" t="s">
        <v>85</v>
      </c>
      <c r="AB934" s="31" t="s">
        <v>10</v>
      </c>
      <c r="AC934" s="31">
        <v>3</v>
      </c>
      <c r="AD934" s="40" t="s">
        <v>4876</v>
      </c>
      <c r="AE934" s="40" t="s">
        <v>7908</v>
      </c>
      <c r="AF934" s="40" t="s">
        <v>37</v>
      </c>
      <c r="AG934" s="744">
        <v>44347</v>
      </c>
      <c r="AH934" s="40"/>
      <c r="AI934" s="31"/>
      <c r="AJ934" s="652"/>
    </row>
    <row r="935" spans="1:36" ht="51.75" x14ac:dyDescent="0.25">
      <c r="A935" s="488"/>
      <c r="B935" s="131"/>
      <c r="C935" s="75"/>
      <c r="D935" s="568"/>
      <c r="E935" s="568"/>
      <c r="F935" s="118"/>
      <c r="G935" s="118"/>
      <c r="H935" s="75"/>
      <c r="I935" s="118"/>
      <c r="J935" s="121"/>
      <c r="K935" s="188"/>
      <c r="L935" s="76"/>
      <c r="M935" s="915"/>
      <c r="N935" s="915"/>
      <c r="O935" s="75"/>
      <c r="P935" s="75"/>
      <c r="Q935" s="76"/>
      <c r="R935" s="77"/>
      <c r="S935" s="42" t="s">
        <v>91</v>
      </c>
      <c r="T935" s="43" t="s">
        <v>4877</v>
      </c>
      <c r="U935" s="24">
        <v>2752</v>
      </c>
      <c r="V935" s="24">
        <f>2752-30</f>
        <v>2722</v>
      </c>
      <c r="W935" s="24">
        <f>2752+30</f>
        <v>2782</v>
      </c>
      <c r="X935" s="24">
        <v>2000</v>
      </c>
      <c r="Y935" s="24">
        <f>2000-110</f>
        <v>1890</v>
      </c>
      <c r="Z935" s="24">
        <f>2000+110</f>
        <v>2110</v>
      </c>
      <c r="AA935" s="24" t="s">
        <v>16</v>
      </c>
      <c r="AB935" s="24" t="s">
        <v>10</v>
      </c>
      <c r="AC935" s="24">
        <v>2</v>
      </c>
      <c r="AD935" s="46" t="s">
        <v>4878</v>
      </c>
      <c r="AE935" s="46" t="s">
        <v>4859</v>
      </c>
      <c r="AF935" s="46" t="s">
        <v>37</v>
      </c>
      <c r="AG935" s="746">
        <v>44347</v>
      </c>
      <c r="AH935" s="46"/>
      <c r="AI935" s="24"/>
      <c r="AJ935" s="1107"/>
    </row>
    <row r="936" spans="1:36" ht="64.5" x14ac:dyDescent="0.25">
      <c r="A936" s="488"/>
      <c r="B936" s="131"/>
      <c r="C936" s="75"/>
      <c r="D936" s="568"/>
      <c r="E936" s="568"/>
      <c r="F936" s="118"/>
      <c r="G936" s="118"/>
      <c r="H936" s="75"/>
      <c r="I936" s="118"/>
      <c r="J936" s="121"/>
      <c r="K936" s="188"/>
      <c r="L936" s="76"/>
      <c r="M936" s="915"/>
      <c r="N936" s="915"/>
      <c r="O936" s="75"/>
      <c r="P936" s="75"/>
      <c r="Q936" s="76"/>
      <c r="R936" s="77"/>
      <c r="S936" s="42" t="s">
        <v>92</v>
      </c>
      <c r="T936" s="43" t="s">
        <v>4879</v>
      </c>
      <c r="U936" s="24">
        <v>8000</v>
      </c>
      <c r="V936" s="24"/>
      <c r="W936" s="24"/>
      <c r="X936" s="24">
        <v>5600</v>
      </c>
      <c r="Y936" s="24"/>
      <c r="Z936" s="24"/>
      <c r="AA936" s="24" t="s">
        <v>85</v>
      </c>
      <c r="AB936" s="24" t="s">
        <v>10</v>
      </c>
      <c r="AC936" s="24">
        <v>3</v>
      </c>
      <c r="AD936" s="46" t="s">
        <v>4880</v>
      </c>
      <c r="AE936" s="46" t="s">
        <v>4859</v>
      </c>
      <c r="AF936" s="46" t="s">
        <v>37</v>
      </c>
      <c r="AG936" s="746">
        <v>44347</v>
      </c>
      <c r="AH936" s="46"/>
      <c r="AI936" s="24"/>
      <c r="AJ936" s="1107"/>
    </row>
    <row r="937" spans="1:36" ht="39.75" thickBot="1" x14ac:dyDescent="0.3">
      <c r="A937" s="488"/>
      <c r="B937" s="131"/>
      <c r="C937" s="75"/>
      <c r="D937" s="568"/>
      <c r="E937" s="568"/>
      <c r="F937" s="118"/>
      <c r="G937" s="118"/>
      <c r="H937" s="75"/>
      <c r="I937" s="118"/>
      <c r="J937" s="121"/>
      <c r="K937" s="192"/>
      <c r="L937" s="79"/>
      <c r="M937" s="916"/>
      <c r="N937" s="916"/>
      <c r="O937" s="78"/>
      <c r="P937" s="78"/>
      <c r="Q937" s="79"/>
      <c r="R937" s="80"/>
      <c r="S937" s="48" t="s">
        <v>99</v>
      </c>
      <c r="T937" s="49" t="s">
        <v>4881</v>
      </c>
      <c r="U937" s="25">
        <v>9500</v>
      </c>
      <c r="V937" s="25"/>
      <c r="W937" s="25"/>
      <c r="X937" s="25">
        <v>8000</v>
      </c>
      <c r="Y937" s="25"/>
      <c r="Z937" s="25"/>
      <c r="AA937" s="25" t="s">
        <v>85</v>
      </c>
      <c r="AB937" s="25" t="s">
        <v>10</v>
      </c>
      <c r="AC937" s="25">
        <v>3</v>
      </c>
      <c r="AD937" s="52" t="s">
        <v>4882</v>
      </c>
      <c r="AE937" s="52" t="s">
        <v>4859</v>
      </c>
      <c r="AF937" s="52" t="s">
        <v>37</v>
      </c>
      <c r="AG937" s="746">
        <v>44347</v>
      </c>
      <c r="AH937" s="52"/>
      <c r="AI937" s="25"/>
      <c r="AJ937" s="653"/>
    </row>
    <row r="938" spans="1:36" s="211" customFormat="1" ht="51.75" x14ac:dyDescent="0.25">
      <c r="A938" s="488"/>
      <c r="B938" s="131"/>
      <c r="C938" s="75"/>
      <c r="D938" s="568"/>
      <c r="E938" s="568"/>
      <c r="F938" s="118"/>
      <c r="G938" s="118"/>
      <c r="H938" s="75"/>
      <c r="I938" s="118"/>
      <c r="J938" s="121"/>
      <c r="K938" s="187" t="s">
        <v>2156</v>
      </c>
      <c r="L938" s="73" t="s">
        <v>4905</v>
      </c>
      <c r="M938" s="914" t="s">
        <v>2156</v>
      </c>
      <c r="N938" s="914" t="s">
        <v>2156</v>
      </c>
      <c r="O938" s="72">
        <v>2400</v>
      </c>
      <c r="P938" s="72">
        <v>4</v>
      </c>
      <c r="Q938" s="73" t="s">
        <v>4924</v>
      </c>
      <c r="R938" s="74" t="s">
        <v>85</v>
      </c>
      <c r="S938" s="38" t="s">
        <v>47</v>
      </c>
      <c r="T938" s="39" t="s">
        <v>4907</v>
      </c>
      <c r="U938" s="151">
        <v>1800</v>
      </c>
      <c r="V938" s="151"/>
      <c r="W938" s="151"/>
      <c r="X938" s="151">
        <v>833</v>
      </c>
      <c r="Y938" s="31">
        <f>833-97</f>
        <v>736</v>
      </c>
      <c r="Z938" s="31">
        <f>833+97</f>
        <v>930</v>
      </c>
      <c r="AA938" s="31" t="s">
        <v>16</v>
      </c>
      <c r="AB938" s="151" t="s">
        <v>10</v>
      </c>
      <c r="AC938" s="151">
        <v>2</v>
      </c>
      <c r="AD938" s="152" t="s">
        <v>4910</v>
      </c>
      <c r="AE938" s="40" t="s">
        <v>4859</v>
      </c>
      <c r="AF938" s="40" t="s">
        <v>37</v>
      </c>
      <c r="AG938" s="744">
        <v>44242</v>
      </c>
      <c r="AH938" s="40"/>
      <c r="AI938" s="151"/>
      <c r="AJ938" s="1112"/>
    </row>
    <row r="939" spans="1:36" s="211" customFormat="1" ht="26.25" x14ac:dyDescent="0.25">
      <c r="A939" s="488"/>
      <c r="B939" s="131"/>
      <c r="C939" s="75"/>
      <c r="D939" s="568"/>
      <c r="E939" s="568"/>
      <c r="F939" s="118"/>
      <c r="G939" s="118"/>
      <c r="H939" s="75"/>
      <c r="I939" s="118"/>
      <c r="J939" s="121"/>
      <c r="K939" s="188"/>
      <c r="L939" s="76"/>
      <c r="M939" s="915"/>
      <c r="N939" s="915"/>
      <c r="O939" s="75"/>
      <c r="P939" s="75"/>
      <c r="Q939" s="76"/>
      <c r="R939" s="77"/>
      <c r="S939" s="42" t="s">
        <v>91</v>
      </c>
      <c r="T939" s="43" t="s">
        <v>4906</v>
      </c>
      <c r="U939" s="136">
        <v>2752</v>
      </c>
      <c r="V939" s="24">
        <f>2752-30</f>
        <v>2722</v>
      </c>
      <c r="W939" s="24">
        <f>2752+30</f>
        <v>2782</v>
      </c>
      <c r="X939" s="24">
        <v>2000</v>
      </c>
      <c r="Y939" s="24">
        <f>2000-110</f>
        <v>1890</v>
      </c>
      <c r="Z939" s="24">
        <f>2000+110</f>
        <v>2110</v>
      </c>
      <c r="AA939" s="136" t="s">
        <v>16</v>
      </c>
      <c r="AB939" s="136" t="s">
        <v>10</v>
      </c>
      <c r="AC939" s="136">
        <v>2</v>
      </c>
      <c r="AD939" s="137" t="s">
        <v>4910</v>
      </c>
      <c r="AE939" s="46" t="s">
        <v>4859</v>
      </c>
      <c r="AF939" s="46" t="s">
        <v>37</v>
      </c>
      <c r="AG939" s="746">
        <v>44242</v>
      </c>
      <c r="AH939" s="46"/>
      <c r="AI939" s="136"/>
      <c r="AJ939" s="1110"/>
    </row>
    <row r="940" spans="1:36" s="211" customFormat="1" x14ac:dyDescent="0.25">
      <c r="A940" s="488"/>
      <c r="B940" s="131"/>
      <c r="C940" s="75"/>
      <c r="D940" s="568"/>
      <c r="E940" s="568"/>
      <c r="F940" s="118"/>
      <c r="G940" s="118"/>
      <c r="H940" s="75"/>
      <c r="I940" s="118"/>
      <c r="J940" s="121"/>
      <c r="K940" s="188"/>
      <c r="L940" s="76"/>
      <c r="M940" s="915"/>
      <c r="N940" s="915"/>
      <c r="O940" s="75"/>
      <c r="P940" s="75"/>
      <c r="Q940" s="76"/>
      <c r="R940" s="77"/>
      <c r="S940" s="42" t="s">
        <v>92</v>
      </c>
      <c r="T940" s="43" t="s">
        <v>4908</v>
      </c>
      <c r="U940" s="136">
        <v>8000</v>
      </c>
      <c r="V940" s="136"/>
      <c r="W940" s="136"/>
      <c r="X940" s="136"/>
      <c r="Y940" s="136"/>
      <c r="Z940" s="136"/>
      <c r="AA940" s="136" t="s">
        <v>16</v>
      </c>
      <c r="AB940" s="136" t="s">
        <v>10</v>
      </c>
      <c r="AC940" s="136">
        <v>2</v>
      </c>
      <c r="AD940" s="137" t="s">
        <v>4911</v>
      </c>
      <c r="AE940" s="46" t="s">
        <v>4859</v>
      </c>
      <c r="AF940" s="46" t="s">
        <v>37</v>
      </c>
      <c r="AG940" s="746">
        <v>44242</v>
      </c>
      <c r="AH940" s="46"/>
      <c r="AI940" s="136"/>
      <c r="AJ940" s="1110"/>
    </row>
    <row r="941" spans="1:36" s="211" customFormat="1" ht="15.75" thickBot="1" x14ac:dyDescent="0.3">
      <c r="A941" s="489"/>
      <c r="B941" s="133"/>
      <c r="C941" s="78"/>
      <c r="D941" s="569"/>
      <c r="E941" s="569"/>
      <c r="F941" s="119"/>
      <c r="G941" s="119"/>
      <c r="H941" s="78"/>
      <c r="I941" s="119"/>
      <c r="J941" s="429"/>
      <c r="K941" s="192"/>
      <c r="L941" s="79"/>
      <c r="M941" s="916"/>
      <c r="N941" s="916"/>
      <c r="O941" s="78"/>
      <c r="P941" s="78"/>
      <c r="Q941" s="79"/>
      <c r="R941" s="80"/>
      <c r="S941" s="48" t="s">
        <v>99</v>
      </c>
      <c r="T941" s="49" t="s">
        <v>4909</v>
      </c>
      <c r="U941" s="154">
        <v>9500</v>
      </c>
      <c r="V941" s="154"/>
      <c r="W941" s="154"/>
      <c r="X941" s="154">
        <v>8000</v>
      </c>
      <c r="Y941" s="154"/>
      <c r="Z941" s="154"/>
      <c r="AA941" s="154" t="s">
        <v>16</v>
      </c>
      <c r="AB941" s="154" t="s">
        <v>10</v>
      </c>
      <c r="AC941" s="154">
        <v>2</v>
      </c>
      <c r="AD941" s="155" t="s">
        <v>4912</v>
      </c>
      <c r="AE941" s="52" t="s">
        <v>4859</v>
      </c>
      <c r="AF941" s="52" t="s">
        <v>37</v>
      </c>
      <c r="AG941" s="745">
        <v>44242</v>
      </c>
      <c r="AH941" s="52"/>
      <c r="AI941" s="154"/>
      <c r="AJ941" s="1111"/>
    </row>
    <row r="942" spans="1:36" ht="77.25" x14ac:dyDescent="0.25">
      <c r="A942" s="341" t="s">
        <v>1841</v>
      </c>
      <c r="B942" s="181" t="s">
        <v>2240</v>
      </c>
      <c r="C942" s="125">
        <v>328</v>
      </c>
      <c r="D942" s="585" t="s">
        <v>52</v>
      </c>
      <c r="E942" s="585"/>
      <c r="F942" s="126"/>
      <c r="G942" s="126"/>
      <c r="H942" s="125"/>
      <c r="I942" s="181"/>
      <c r="J942" s="247"/>
      <c r="K942" s="252">
        <v>1002</v>
      </c>
      <c r="L942" s="355" t="s">
        <v>7387</v>
      </c>
      <c r="M942" s="911">
        <v>1778307.6192000001</v>
      </c>
      <c r="N942" s="911">
        <v>5424065.5105999997</v>
      </c>
      <c r="O942" s="125" t="s">
        <v>41</v>
      </c>
      <c r="P942" s="125">
        <v>2</v>
      </c>
      <c r="Q942" s="355" t="s">
        <v>2156</v>
      </c>
      <c r="R942" s="134" t="s">
        <v>2156</v>
      </c>
      <c r="S942" s="656" t="s">
        <v>47</v>
      </c>
      <c r="T942" s="340" t="s">
        <v>7130</v>
      </c>
      <c r="U942" s="31"/>
      <c r="V942" s="31">
        <v>497</v>
      </c>
      <c r="W942" s="31">
        <v>547</v>
      </c>
      <c r="X942" s="31"/>
      <c r="Y942" s="31">
        <v>0</v>
      </c>
      <c r="Z942" s="31">
        <v>264</v>
      </c>
      <c r="AA942" s="31" t="s">
        <v>10</v>
      </c>
      <c r="AB942" s="31" t="s">
        <v>16</v>
      </c>
      <c r="AC942" s="31">
        <v>2</v>
      </c>
      <c r="AD942" s="40" t="s">
        <v>7560</v>
      </c>
      <c r="AE942" s="40" t="s">
        <v>7175</v>
      </c>
      <c r="AF942" s="40" t="s">
        <v>1380</v>
      </c>
      <c r="AG942" s="744">
        <v>44217</v>
      </c>
      <c r="AH942" s="40"/>
      <c r="AI942" s="744">
        <v>44348</v>
      </c>
      <c r="AJ942" s="1135" t="s">
        <v>37</v>
      </c>
    </row>
    <row r="943" spans="1:36" ht="52.5" thickBot="1" x14ac:dyDescent="0.3">
      <c r="A943" s="339"/>
      <c r="B943" s="116"/>
      <c r="C943" s="95"/>
      <c r="D943" s="567"/>
      <c r="E943" s="567"/>
      <c r="F943" s="108"/>
      <c r="G943" s="108"/>
      <c r="H943" s="95"/>
      <c r="I943" s="116"/>
      <c r="J943" s="122"/>
      <c r="K943" s="190"/>
      <c r="L943" s="357"/>
      <c r="M943" s="912"/>
      <c r="N943" s="912"/>
      <c r="O943" s="96"/>
      <c r="P943" s="96"/>
      <c r="Q943" s="357"/>
      <c r="R943" s="100"/>
      <c r="S943" s="657" t="s">
        <v>91</v>
      </c>
      <c r="T943" s="335" t="s">
        <v>7388</v>
      </c>
      <c r="U943" s="25"/>
      <c r="V943" s="25">
        <v>722</v>
      </c>
      <c r="W943" s="25">
        <v>897</v>
      </c>
      <c r="X943" s="25"/>
      <c r="Y943" s="25">
        <v>497</v>
      </c>
      <c r="Z943" s="25">
        <v>547</v>
      </c>
      <c r="AA943" s="25" t="s">
        <v>16</v>
      </c>
      <c r="AB943" s="25" t="s">
        <v>10</v>
      </c>
      <c r="AC943" s="105" t="s">
        <v>4668</v>
      </c>
      <c r="AD943" s="52" t="s">
        <v>7561</v>
      </c>
      <c r="AE943" s="52" t="s">
        <v>7175</v>
      </c>
      <c r="AF943" s="52" t="s">
        <v>1380</v>
      </c>
      <c r="AG943" s="745">
        <v>44217</v>
      </c>
      <c r="AH943" s="52"/>
      <c r="AI943" s="745">
        <v>44348</v>
      </c>
      <c r="AJ943" s="1132" t="s">
        <v>37</v>
      </c>
    </row>
    <row r="944" spans="1:36" ht="90.75" thickBot="1" x14ac:dyDescent="0.3">
      <c r="A944" s="336"/>
      <c r="B944" s="196"/>
      <c r="C944" s="96"/>
      <c r="D944" s="566"/>
      <c r="E944" s="566"/>
      <c r="F944" s="107"/>
      <c r="G944" s="107"/>
      <c r="H944" s="96"/>
      <c r="I944" s="196"/>
      <c r="J944" s="123"/>
      <c r="K944" s="190">
        <v>1088</v>
      </c>
      <c r="L944" s="357" t="s">
        <v>7389</v>
      </c>
      <c r="M944" s="912">
        <v>1778322.7109000001</v>
      </c>
      <c r="N944" s="912">
        <v>5424084.4380999999</v>
      </c>
      <c r="O944" s="96" t="s">
        <v>41</v>
      </c>
      <c r="P944" s="96">
        <v>1</v>
      </c>
      <c r="Q944" s="357" t="s">
        <v>2156</v>
      </c>
      <c r="R944" s="100" t="s">
        <v>2156</v>
      </c>
      <c r="S944" s="657" t="s">
        <v>91</v>
      </c>
      <c r="T944" s="335" t="s">
        <v>7390</v>
      </c>
      <c r="U944" s="25" t="s">
        <v>7391</v>
      </c>
      <c r="V944" s="25">
        <v>1260</v>
      </c>
      <c r="W944" s="25">
        <v>1312</v>
      </c>
      <c r="X944" s="25"/>
      <c r="Y944" s="25"/>
      <c r="Z944" s="25"/>
      <c r="AA944" s="25" t="s">
        <v>85</v>
      </c>
      <c r="AB944" s="25" t="s">
        <v>16</v>
      </c>
      <c r="AC944" s="25">
        <v>3</v>
      </c>
      <c r="AD944" s="52" t="s">
        <v>7562</v>
      </c>
      <c r="AE944" s="52" t="s">
        <v>7175</v>
      </c>
      <c r="AF944" s="52" t="s">
        <v>1380</v>
      </c>
      <c r="AG944" s="745">
        <v>44217</v>
      </c>
      <c r="AH944" s="52"/>
      <c r="AI944" s="745">
        <v>44348</v>
      </c>
      <c r="AJ944" s="1132" t="s">
        <v>37</v>
      </c>
    </row>
    <row r="945" spans="1:36" ht="64.5" x14ac:dyDescent="0.25">
      <c r="A945" s="524" t="s">
        <v>6490</v>
      </c>
      <c r="B945" s="81" t="s">
        <v>7671</v>
      </c>
      <c r="C945" s="26">
        <v>208</v>
      </c>
      <c r="D945" s="594" t="s">
        <v>57</v>
      </c>
      <c r="E945" s="594"/>
      <c r="F945" s="491"/>
      <c r="G945" s="491"/>
      <c r="H945" s="26"/>
      <c r="I945" s="491"/>
      <c r="J945" s="29"/>
      <c r="K945" s="490">
        <v>4027</v>
      </c>
      <c r="L945" s="58" t="s">
        <v>6491</v>
      </c>
      <c r="M945" s="932">
        <v>1880183.08974</v>
      </c>
      <c r="N945" s="932">
        <v>5749957.0704600001</v>
      </c>
      <c r="O945" s="26" t="s">
        <v>6492</v>
      </c>
      <c r="P945" s="26">
        <v>4</v>
      </c>
      <c r="Q945" s="58" t="s">
        <v>6493</v>
      </c>
      <c r="R945" s="59" t="s">
        <v>16</v>
      </c>
      <c r="S945" s="656" t="s">
        <v>47</v>
      </c>
      <c r="T945" s="340" t="s">
        <v>6494</v>
      </c>
      <c r="U945" s="31">
        <f>432-102</f>
        <v>330</v>
      </c>
      <c r="V945" s="31"/>
      <c r="W945" s="31"/>
      <c r="X945" s="31">
        <f>432+102</f>
        <v>534</v>
      </c>
      <c r="Y945" s="31"/>
      <c r="Z945" s="31"/>
      <c r="AA945" s="31" t="s">
        <v>16</v>
      </c>
      <c r="AB945" s="31" t="s">
        <v>16</v>
      </c>
      <c r="AC945" s="31">
        <v>2</v>
      </c>
      <c r="AD945" s="40" t="s">
        <v>6495</v>
      </c>
      <c r="AE945" s="40" t="s">
        <v>1212</v>
      </c>
      <c r="AF945" s="40" t="s">
        <v>6372</v>
      </c>
      <c r="AG945" s="744">
        <v>44238</v>
      </c>
      <c r="AH945" s="40"/>
      <c r="AI945" s="744">
        <v>44326</v>
      </c>
      <c r="AJ945" s="652" t="s">
        <v>37</v>
      </c>
    </row>
    <row r="946" spans="1:36" ht="64.5" x14ac:dyDescent="0.25">
      <c r="A946" s="736"/>
      <c r="B946" s="787"/>
      <c r="C946" s="515"/>
      <c r="D946" s="784"/>
      <c r="E946" s="784"/>
      <c r="F946" s="720"/>
      <c r="G946" s="720"/>
      <c r="H946" s="515"/>
      <c r="I946" s="720"/>
      <c r="J946" s="639"/>
      <c r="K946" s="501"/>
      <c r="L946" s="721"/>
      <c r="M946" s="980"/>
      <c r="N946" s="980"/>
      <c r="O946" s="515"/>
      <c r="P946" s="515"/>
      <c r="Q946" s="721"/>
      <c r="R946" s="61"/>
      <c r="S946" s="658" t="s">
        <v>91</v>
      </c>
      <c r="T946" s="337" t="s">
        <v>6496</v>
      </c>
      <c r="U946" s="2">
        <f>501-63</f>
        <v>438</v>
      </c>
      <c r="X946" s="2">
        <f>501+63</f>
        <v>564</v>
      </c>
      <c r="AA946" s="2" t="s">
        <v>16</v>
      </c>
      <c r="AB946" s="2" t="s">
        <v>10</v>
      </c>
      <c r="AC946" s="2">
        <v>2</v>
      </c>
      <c r="AD946" s="3" t="s">
        <v>6495</v>
      </c>
      <c r="AE946" s="3" t="s">
        <v>1212</v>
      </c>
      <c r="AF946" s="3" t="s">
        <v>6372</v>
      </c>
      <c r="AG946" s="747">
        <v>44238</v>
      </c>
      <c r="AI946" s="747">
        <v>44326</v>
      </c>
      <c r="AJ946" s="1107" t="s">
        <v>37</v>
      </c>
    </row>
    <row r="947" spans="1:36" ht="51.75" x14ac:dyDescent="0.25">
      <c r="A947" s="736"/>
      <c r="B947" s="787"/>
      <c r="C947" s="515"/>
      <c r="D947" s="784"/>
      <c r="E947" s="784"/>
      <c r="F947" s="720"/>
      <c r="G947" s="720"/>
      <c r="H947" s="515"/>
      <c r="I947" s="720"/>
      <c r="J947" s="639"/>
      <c r="K947" s="501"/>
      <c r="L947" s="721"/>
      <c r="M947" s="980"/>
      <c r="N947" s="980"/>
      <c r="O947" s="515"/>
      <c r="P947" s="515"/>
      <c r="Q947" s="721"/>
      <c r="R947" s="61"/>
      <c r="S947" s="658" t="s">
        <v>92</v>
      </c>
      <c r="T947" s="337" t="s">
        <v>6497</v>
      </c>
      <c r="U947" s="2">
        <v>5530</v>
      </c>
      <c r="V947" s="2">
        <f>5530-60</f>
        <v>5470</v>
      </c>
      <c r="W947" s="2">
        <f>5530+60</f>
        <v>5590</v>
      </c>
      <c r="X947" s="2">
        <v>15425</v>
      </c>
      <c r="Y947" s="2">
        <v>15100</v>
      </c>
      <c r="Z947" s="2">
        <v>15750</v>
      </c>
      <c r="AA947" s="2" t="s">
        <v>16</v>
      </c>
      <c r="AB947" s="2" t="s">
        <v>10</v>
      </c>
      <c r="AC947" s="2">
        <v>2</v>
      </c>
      <c r="AD947" s="3" t="s">
        <v>6498</v>
      </c>
      <c r="AE947" s="3" t="s">
        <v>1212</v>
      </c>
      <c r="AF947" s="3" t="s">
        <v>6372</v>
      </c>
      <c r="AG947" s="747">
        <v>44238</v>
      </c>
      <c r="AI947" s="747">
        <v>44326</v>
      </c>
      <c r="AJ947" s="1107" t="s">
        <v>37</v>
      </c>
    </row>
    <row r="948" spans="1:36" ht="52.5" thickBot="1" x14ac:dyDescent="0.3">
      <c r="A948" s="790"/>
      <c r="B948" s="777"/>
      <c r="C948" s="28"/>
      <c r="D948" s="575"/>
      <c r="E948" s="575"/>
      <c r="F948" s="504"/>
      <c r="G948" s="504"/>
      <c r="H948" s="28"/>
      <c r="I948" s="504"/>
      <c r="J948" s="608"/>
      <c r="K948" s="503"/>
      <c r="L948" s="62"/>
      <c r="M948" s="923"/>
      <c r="N948" s="923"/>
      <c r="O948" s="28"/>
      <c r="P948" s="28"/>
      <c r="Q948" s="62"/>
      <c r="R948" s="63"/>
      <c r="S948" s="657" t="s">
        <v>99</v>
      </c>
      <c r="T948" s="335" t="s">
        <v>6499</v>
      </c>
      <c r="U948" s="25">
        <v>21800</v>
      </c>
      <c r="V948" s="25">
        <v>21300</v>
      </c>
      <c r="W948" s="25">
        <v>22300</v>
      </c>
      <c r="X948" s="25">
        <v>27097</v>
      </c>
      <c r="Y948" s="25">
        <f>27097-957</f>
        <v>26140</v>
      </c>
      <c r="Z948" s="25">
        <f>27097+957</f>
        <v>28054</v>
      </c>
      <c r="AA948" s="25" t="s">
        <v>16</v>
      </c>
      <c r="AB948" s="25" t="s">
        <v>16</v>
      </c>
      <c r="AC948" s="25">
        <v>2</v>
      </c>
      <c r="AD948" s="52" t="s">
        <v>6500</v>
      </c>
      <c r="AE948" s="52" t="s">
        <v>1212</v>
      </c>
      <c r="AF948" s="52" t="s">
        <v>6372</v>
      </c>
      <c r="AG948" s="745">
        <v>44238</v>
      </c>
      <c r="AH948" s="52"/>
      <c r="AI948" s="745">
        <v>44326</v>
      </c>
      <c r="AJ948" s="653" t="s">
        <v>37</v>
      </c>
    </row>
    <row r="949" spans="1:36" ht="51.75" x14ac:dyDescent="0.25">
      <c r="A949" s="681" t="s">
        <v>6501</v>
      </c>
      <c r="B949" s="682" t="s">
        <v>4997</v>
      </c>
      <c r="C949" s="663">
        <v>212</v>
      </c>
      <c r="D949" s="781" t="s">
        <v>57</v>
      </c>
      <c r="E949" s="781"/>
      <c r="F949" s="675"/>
      <c r="G949" s="675"/>
      <c r="H949" s="663"/>
      <c r="I949" s="675"/>
      <c r="J949" s="1124"/>
      <c r="K949" s="664">
        <v>4026</v>
      </c>
      <c r="L949" s="433" t="s">
        <v>6502</v>
      </c>
      <c r="M949" s="924">
        <v>1882031.40803</v>
      </c>
      <c r="N949" s="924">
        <v>5753453.4220399996</v>
      </c>
      <c r="O949" s="157" t="s">
        <v>6503</v>
      </c>
      <c r="P949" s="157">
        <v>5</v>
      </c>
      <c r="Q949" s="665" t="s">
        <v>6493</v>
      </c>
      <c r="R949" s="666" t="s">
        <v>16</v>
      </c>
      <c r="S949" s="656" t="s">
        <v>47</v>
      </c>
      <c r="T949" s="340" t="s">
        <v>6504</v>
      </c>
      <c r="U949" s="31"/>
      <c r="V949" s="31"/>
      <c r="W949" s="31"/>
      <c r="X949" s="31">
        <v>1717</v>
      </c>
      <c r="Y949" s="31">
        <f>1717-13</f>
        <v>1704</v>
      </c>
      <c r="Z949" s="31">
        <f>1717+13</f>
        <v>1730</v>
      </c>
      <c r="AA949" s="31" t="s">
        <v>85</v>
      </c>
      <c r="AB949" s="31" t="s">
        <v>10</v>
      </c>
      <c r="AC949" s="31">
        <v>3</v>
      </c>
      <c r="AD949" s="40" t="s">
        <v>6505</v>
      </c>
      <c r="AE949" s="40" t="s">
        <v>1212</v>
      </c>
      <c r="AF949" s="40" t="s">
        <v>6372</v>
      </c>
      <c r="AG949" s="744">
        <v>44238</v>
      </c>
      <c r="AH949" s="40"/>
      <c r="AI949" s="744">
        <v>44326</v>
      </c>
      <c r="AJ949" s="652" t="s">
        <v>37</v>
      </c>
    </row>
    <row r="950" spans="1:36" ht="64.5" x14ac:dyDescent="0.25">
      <c r="A950" s="1115"/>
      <c r="B950" s="1119"/>
      <c r="C950" s="667"/>
      <c r="D950" s="782"/>
      <c r="E950" s="782"/>
      <c r="F950" s="676"/>
      <c r="G950" s="676"/>
      <c r="H950" s="667"/>
      <c r="I950" s="676"/>
      <c r="J950" s="1125"/>
      <c r="K950" s="668"/>
      <c r="L950" s="669"/>
      <c r="M950" s="977"/>
      <c r="N950" s="977"/>
      <c r="O950" s="667"/>
      <c r="P950" s="667"/>
      <c r="Q950" s="669"/>
      <c r="R950" s="670"/>
      <c r="S950" s="658" t="s">
        <v>91</v>
      </c>
      <c r="T950" s="337" t="s">
        <v>6506</v>
      </c>
      <c r="U950" s="2">
        <v>1717</v>
      </c>
      <c r="V950" s="2">
        <f>1717-13</f>
        <v>1704</v>
      </c>
      <c r="W950" s="2">
        <f>1717+13</f>
        <v>1730</v>
      </c>
      <c r="X950" s="2">
        <v>8005</v>
      </c>
      <c r="Y950" s="2">
        <f>8005-45</f>
        <v>7960</v>
      </c>
      <c r="Z950" s="2">
        <f>8005-45</f>
        <v>7960</v>
      </c>
      <c r="AA950" s="2" t="s">
        <v>16</v>
      </c>
      <c r="AB950" s="2" t="s">
        <v>10</v>
      </c>
      <c r="AC950" s="2">
        <v>2</v>
      </c>
      <c r="AD950" s="3" t="s">
        <v>6507</v>
      </c>
      <c r="AE950" s="3" t="s">
        <v>1212</v>
      </c>
      <c r="AF950" s="3" t="s">
        <v>6372</v>
      </c>
      <c r="AG950" s="747">
        <v>44238</v>
      </c>
      <c r="AI950" s="747">
        <v>44326</v>
      </c>
      <c r="AJ950" s="1107" t="s">
        <v>37</v>
      </c>
    </row>
    <row r="951" spans="1:36" ht="64.5" x14ac:dyDescent="0.25">
      <c r="A951" s="1115"/>
      <c r="B951" s="1119"/>
      <c r="C951" s="667"/>
      <c r="D951" s="782"/>
      <c r="E951" s="782"/>
      <c r="F951" s="676"/>
      <c r="G951" s="676"/>
      <c r="H951" s="667"/>
      <c r="I951" s="676"/>
      <c r="J951" s="1125"/>
      <c r="K951" s="668"/>
      <c r="L951" s="669"/>
      <c r="M951" s="977"/>
      <c r="N951" s="977"/>
      <c r="O951" s="667"/>
      <c r="P951" s="667"/>
      <c r="Q951" s="669"/>
      <c r="R951" s="670"/>
      <c r="S951" s="658" t="s">
        <v>92</v>
      </c>
      <c r="T951" s="337" t="s">
        <v>6508</v>
      </c>
      <c r="U951" s="2">
        <v>5530</v>
      </c>
      <c r="V951" s="2">
        <f>5530-60</f>
        <v>5470</v>
      </c>
      <c r="W951" s="2">
        <f>5530+60</f>
        <v>5590</v>
      </c>
      <c r="X951" s="2">
        <v>9505</v>
      </c>
      <c r="Y951" s="2">
        <f>9505-25</f>
        <v>9480</v>
      </c>
      <c r="Z951" s="2">
        <f>9505+25</f>
        <v>9530</v>
      </c>
      <c r="AA951" s="2" t="s">
        <v>16</v>
      </c>
      <c r="AB951" s="2" t="s">
        <v>10</v>
      </c>
      <c r="AC951" s="2">
        <v>2</v>
      </c>
      <c r="AD951" s="3" t="s">
        <v>6509</v>
      </c>
      <c r="AE951" s="3" t="s">
        <v>1212</v>
      </c>
      <c r="AF951" s="3" t="s">
        <v>6372</v>
      </c>
      <c r="AG951" s="747">
        <v>44238</v>
      </c>
      <c r="AI951" s="747">
        <v>44326</v>
      </c>
      <c r="AJ951" s="1107" t="s">
        <v>37</v>
      </c>
    </row>
    <row r="952" spans="1:36" ht="39" x14ac:dyDescent="0.25">
      <c r="A952" s="1115"/>
      <c r="B952" s="1119"/>
      <c r="C952" s="667"/>
      <c r="D952" s="782"/>
      <c r="E952" s="782"/>
      <c r="F952" s="676"/>
      <c r="G952" s="676"/>
      <c r="H952" s="667"/>
      <c r="I952" s="676"/>
      <c r="J952" s="1125"/>
      <c r="K952" s="668"/>
      <c r="L952" s="669"/>
      <c r="M952" s="977"/>
      <c r="N952" s="977"/>
      <c r="O952" s="667"/>
      <c r="P952" s="667"/>
      <c r="Q952" s="669"/>
      <c r="R952" s="670"/>
      <c r="S952" s="658" t="s">
        <v>99</v>
      </c>
      <c r="T952" s="337" t="s">
        <v>6510</v>
      </c>
      <c r="U952" s="2">
        <v>9480</v>
      </c>
      <c r="X952" s="2">
        <v>9530</v>
      </c>
      <c r="AA952" s="2" t="s">
        <v>16</v>
      </c>
      <c r="AB952" s="2" t="s">
        <v>10</v>
      </c>
      <c r="AC952" s="2">
        <v>2</v>
      </c>
      <c r="AD952" s="3" t="s">
        <v>6511</v>
      </c>
      <c r="AE952" s="3" t="s">
        <v>1212</v>
      </c>
      <c r="AF952" s="3" t="s">
        <v>6372</v>
      </c>
      <c r="AG952" s="747">
        <v>44238</v>
      </c>
      <c r="AI952" s="747">
        <v>44326</v>
      </c>
      <c r="AJ952" s="1107" t="s">
        <v>37</v>
      </c>
    </row>
    <row r="953" spans="1:36" ht="52.5" thickBot="1" x14ac:dyDescent="0.3">
      <c r="A953" s="1117"/>
      <c r="B953" s="1118"/>
      <c r="C953" s="671"/>
      <c r="D953" s="783"/>
      <c r="E953" s="783"/>
      <c r="F953" s="680"/>
      <c r="G953" s="680"/>
      <c r="H953" s="671"/>
      <c r="I953" s="680"/>
      <c r="J953" s="1126"/>
      <c r="K953" s="672"/>
      <c r="L953" s="673"/>
      <c r="M953" s="976"/>
      <c r="N953" s="976"/>
      <c r="O953" s="671"/>
      <c r="P953" s="671"/>
      <c r="Q953" s="673"/>
      <c r="R953" s="674"/>
      <c r="S953" s="657" t="s">
        <v>100</v>
      </c>
      <c r="T953" s="335" t="s">
        <v>6512</v>
      </c>
      <c r="U953" s="25">
        <v>15425</v>
      </c>
      <c r="V953" s="25">
        <f>15425-325</f>
        <v>15100</v>
      </c>
      <c r="W953" s="25">
        <f>15425+325</f>
        <v>15750</v>
      </c>
      <c r="X953" s="25">
        <v>21800</v>
      </c>
      <c r="Y953" s="25">
        <f>21800-500</f>
        <v>21300</v>
      </c>
      <c r="Z953" s="25">
        <v>22300</v>
      </c>
      <c r="AA953" s="25" t="s">
        <v>16</v>
      </c>
      <c r="AB953" s="25" t="s">
        <v>16</v>
      </c>
      <c r="AC953" s="25">
        <v>2</v>
      </c>
      <c r="AD953" s="52" t="s">
        <v>6513</v>
      </c>
      <c r="AE953" s="52" t="s">
        <v>1212</v>
      </c>
      <c r="AF953" s="52" t="s">
        <v>6372</v>
      </c>
      <c r="AG953" s="745">
        <v>44238</v>
      </c>
      <c r="AH953" s="52"/>
      <c r="AI953" s="745">
        <v>44326</v>
      </c>
      <c r="AJ953" s="653" t="s">
        <v>37</v>
      </c>
    </row>
    <row r="954" spans="1:36" ht="52.5" thickBot="1" x14ac:dyDescent="0.3">
      <c r="A954" s="334" t="s">
        <v>1848</v>
      </c>
      <c r="B954" s="333" t="s">
        <v>1848</v>
      </c>
      <c r="C954" s="84">
        <v>327</v>
      </c>
      <c r="D954" s="591" t="s">
        <v>52</v>
      </c>
      <c r="E954" s="591" t="s">
        <v>53</v>
      </c>
      <c r="F954" s="109"/>
      <c r="G954" s="109"/>
      <c r="H954" s="84"/>
      <c r="I954" s="109"/>
      <c r="J954" s="333"/>
      <c r="K954" s="89">
        <v>1099</v>
      </c>
      <c r="L954" s="396" t="s">
        <v>7392</v>
      </c>
      <c r="M954" s="987">
        <v>1769018.1795999999</v>
      </c>
      <c r="N954" s="265">
        <v>5437848.2225000001</v>
      </c>
      <c r="O954" s="109" t="s">
        <v>41</v>
      </c>
      <c r="P954" s="149" t="s">
        <v>4099</v>
      </c>
      <c r="Q954" s="396" t="s">
        <v>2156</v>
      </c>
      <c r="R954" s="90" t="s">
        <v>2156</v>
      </c>
      <c r="S954" s="733" t="s">
        <v>47</v>
      </c>
      <c r="T954" s="329" t="s">
        <v>7393</v>
      </c>
      <c r="U954" s="86">
        <v>10000</v>
      </c>
      <c r="V954" s="86"/>
      <c r="W954" s="86"/>
      <c r="X954" s="86"/>
      <c r="Y954" s="86"/>
      <c r="Z954" s="86"/>
      <c r="AA954" s="86" t="s">
        <v>85</v>
      </c>
      <c r="AB954" s="86" t="s">
        <v>16</v>
      </c>
      <c r="AC954" s="86">
        <v>3</v>
      </c>
      <c r="AD954" s="92" t="s">
        <v>7394</v>
      </c>
      <c r="AE954" s="92" t="s">
        <v>6965</v>
      </c>
      <c r="AF954" s="92" t="s">
        <v>1380</v>
      </c>
      <c r="AG954" s="743">
        <v>44222</v>
      </c>
      <c r="AH954" s="92"/>
      <c r="AI954" s="743">
        <v>44348</v>
      </c>
      <c r="AJ954" s="1133" t="s">
        <v>37</v>
      </c>
    </row>
  </sheetData>
  <phoneticPr fontId="7" type="noConversion"/>
  <pageMargins left="0.7" right="0.7" top="0.75" bottom="0.75" header="0.3" footer="0.3"/>
  <pageSetup paperSize="9" orientation="portrait" r:id="rId1"/>
  <ignoredErrors>
    <ignoredError sqref="V826:W8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AE2F-B009-438D-BA06-88D93D018FCC}">
  <dimension ref="A1:AA997"/>
  <sheetViews>
    <sheetView zoomScale="80" zoomScaleNormal="80" workbookViewId="0">
      <pane ySplit="2" topLeftCell="A23" activePane="bottomLeft" state="frozen"/>
      <selection pane="bottomLeft"/>
    </sheetView>
  </sheetViews>
  <sheetFormatPr defaultRowHeight="15" x14ac:dyDescent="0.25"/>
  <cols>
    <col min="1" max="1" width="15.28515625" style="3" customWidth="1"/>
    <col min="2" max="2" width="23.42578125" style="3" customWidth="1"/>
    <col min="3" max="3" width="9.140625" style="2"/>
    <col min="4" max="4" width="11.140625" style="352" customWidth="1"/>
    <col min="5" max="5" width="9.140625" style="352"/>
    <col min="6" max="6" width="9.85546875" style="148" customWidth="1"/>
    <col min="7" max="7" width="11.42578125" style="2" customWidth="1"/>
    <col min="8" max="8" width="13.42578125" style="2" customWidth="1"/>
    <col min="9" max="9" width="18.7109375" style="352" customWidth="1"/>
    <col min="10" max="10" width="9" style="2"/>
    <col min="11" max="11" width="16.7109375" style="16" customWidth="1"/>
    <col min="12" max="13" width="10.42578125" style="988" bestFit="1" customWidth="1"/>
    <col min="14" max="14" width="11.42578125" style="2" customWidth="1"/>
    <col min="15" max="15" width="11.85546875" style="2" customWidth="1"/>
    <col min="16" max="17" width="14.28515625" style="2" customWidth="1"/>
    <col min="18" max="18" width="24.5703125" style="16" customWidth="1"/>
    <col min="19" max="19" width="9.140625" style="2"/>
    <col min="20" max="20" width="17.7109375" style="5" customWidth="1"/>
    <col min="21" max="21" width="34.5703125" style="3" customWidth="1"/>
    <col min="22" max="23" width="23.140625" style="3" customWidth="1"/>
    <col min="24" max="24" width="13.5703125" style="5" customWidth="1"/>
    <col min="25" max="25" width="17.28515625" style="3" customWidth="1"/>
    <col min="26" max="26" width="14" style="5" customWidth="1"/>
    <col min="27" max="27" width="16.140625" style="3" customWidth="1"/>
  </cols>
  <sheetData>
    <row r="1" spans="1:27" s="869" customFormat="1" x14ac:dyDescent="0.25">
      <c r="A1" s="1034" t="s">
        <v>418</v>
      </c>
      <c r="B1" s="1034"/>
      <c r="C1" s="11"/>
      <c r="D1" s="564"/>
      <c r="E1" s="564"/>
      <c r="F1" s="141"/>
      <c r="G1" s="11"/>
      <c r="H1" s="11"/>
      <c r="I1" s="564"/>
      <c r="J1" s="9" t="s">
        <v>49</v>
      </c>
      <c r="K1" s="56"/>
      <c r="L1" s="970"/>
      <c r="M1" s="970"/>
      <c r="N1" s="10"/>
      <c r="O1" s="10"/>
      <c r="P1" s="10"/>
      <c r="Q1" s="10"/>
      <c r="R1" s="56"/>
      <c r="S1" s="10"/>
      <c r="T1" s="15"/>
      <c r="U1" s="34"/>
      <c r="V1" s="34"/>
      <c r="W1" s="34"/>
      <c r="X1" s="15"/>
      <c r="Y1" s="34"/>
      <c r="Z1" s="15"/>
      <c r="AA1" s="34"/>
    </row>
    <row r="2" spans="1:27" s="869" customFormat="1" ht="39.75" thickBot="1" x14ac:dyDescent="0.3">
      <c r="A2" s="584" t="s">
        <v>48</v>
      </c>
      <c r="B2" s="584" t="s">
        <v>10085</v>
      </c>
      <c r="C2" s="17" t="s">
        <v>10106</v>
      </c>
      <c r="D2" s="584" t="s">
        <v>72</v>
      </c>
      <c r="E2" s="584" t="s">
        <v>73</v>
      </c>
      <c r="F2" s="142" t="s">
        <v>153</v>
      </c>
      <c r="G2" s="18" t="s">
        <v>154</v>
      </c>
      <c r="H2" s="19" t="s">
        <v>157</v>
      </c>
      <c r="I2" s="21" t="s">
        <v>10123</v>
      </c>
      <c r="J2" s="17" t="s">
        <v>90</v>
      </c>
      <c r="K2" s="37" t="s">
        <v>0</v>
      </c>
      <c r="L2" s="971" t="s">
        <v>1</v>
      </c>
      <c r="M2" s="971" t="s">
        <v>2</v>
      </c>
      <c r="N2" s="23" t="s">
        <v>30</v>
      </c>
      <c r="O2" s="23" t="s">
        <v>10124</v>
      </c>
      <c r="P2" s="23" t="s">
        <v>10105</v>
      </c>
      <c r="Q2" s="23" t="s">
        <v>157</v>
      </c>
      <c r="R2" s="55" t="s">
        <v>10123</v>
      </c>
      <c r="S2" s="23" t="s">
        <v>10127</v>
      </c>
      <c r="T2" s="845" t="s">
        <v>10126</v>
      </c>
      <c r="U2" s="37" t="s">
        <v>10125</v>
      </c>
      <c r="V2" s="37" t="s">
        <v>346</v>
      </c>
      <c r="W2" s="37" t="s">
        <v>10110</v>
      </c>
      <c r="X2" s="37" t="s">
        <v>10109</v>
      </c>
      <c r="Y2" s="37" t="s">
        <v>10108</v>
      </c>
      <c r="Z2" s="35" t="s">
        <v>38</v>
      </c>
      <c r="AA2" s="35" t="s">
        <v>10107</v>
      </c>
    </row>
    <row r="3" spans="1:27" s="869" customFormat="1" ht="39.75" thickBot="1" x14ac:dyDescent="0.3">
      <c r="A3" s="334" t="s">
        <v>7987</v>
      </c>
      <c r="B3" s="333" t="s">
        <v>1461</v>
      </c>
      <c r="C3" s="84">
        <v>326</v>
      </c>
      <c r="D3" s="333" t="s">
        <v>53</v>
      </c>
      <c r="E3" s="333" t="s">
        <v>52</v>
      </c>
      <c r="F3" s="109" t="s">
        <v>1440</v>
      </c>
      <c r="G3" s="109" t="s">
        <v>1972</v>
      </c>
      <c r="H3" s="296"/>
      <c r="I3" s="625"/>
      <c r="J3" s="89">
        <v>1125</v>
      </c>
      <c r="K3" s="396" t="s">
        <v>7988</v>
      </c>
      <c r="L3" s="908">
        <v>1777886.5027000001</v>
      </c>
      <c r="M3" s="908">
        <v>5456866.4552999996</v>
      </c>
      <c r="N3" s="109" t="s">
        <v>5434</v>
      </c>
      <c r="O3" s="109" t="s">
        <v>5</v>
      </c>
      <c r="P3" s="109">
        <v>1</v>
      </c>
      <c r="Q3" s="109" t="s">
        <v>9076</v>
      </c>
      <c r="R3" s="396" t="s">
        <v>9077</v>
      </c>
      <c r="S3" s="343" t="s">
        <v>85</v>
      </c>
      <c r="T3" s="833" t="s">
        <v>604</v>
      </c>
      <c r="U3" s="94" t="s">
        <v>7989</v>
      </c>
      <c r="V3" s="94" t="s">
        <v>1451</v>
      </c>
      <c r="W3" s="94" t="s">
        <v>1380</v>
      </c>
      <c r="X3" s="834">
        <v>44179</v>
      </c>
      <c r="Y3" s="94"/>
      <c r="Z3" s="834">
        <v>44180</v>
      </c>
      <c r="AA3" s="835" t="s">
        <v>37</v>
      </c>
    </row>
    <row r="4" spans="1:27" s="870" customFormat="1" ht="27" thickBot="1" x14ac:dyDescent="0.3">
      <c r="A4" s="487" t="s">
        <v>841</v>
      </c>
      <c r="B4" s="128" t="s">
        <v>841</v>
      </c>
      <c r="C4" s="72">
        <v>805</v>
      </c>
      <c r="D4" s="128" t="s">
        <v>52</v>
      </c>
      <c r="E4" s="128" t="s">
        <v>53</v>
      </c>
      <c r="F4" s="129" t="s">
        <v>1262</v>
      </c>
      <c r="G4" s="231" t="s">
        <v>1973</v>
      </c>
      <c r="H4" s="251"/>
      <c r="I4" s="626"/>
      <c r="J4" s="87">
        <v>809</v>
      </c>
      <c r="K4" s="360" t="s">
        <v>4617</v>
      </c>
      <c r="L4" s="907">
        <v>1370835.8642</v>
      </c>
      <c r="M4" s="907">
        <v>4877057.3465999998</v>
      </c>
      <c r="N4" s="199" t="s">
        <v>4636</v>
      </c>
      <c r="O4" s="199" t="s">
        <v>193</v>
      </c>
      <c r="P4" s="199">
        <v>1</v>
      </c>
      <c r="Q4" s="199" t="s">
        <v>4636</v>
      </c>
      <c r="R4" s="380" t="s">
        <v>4635</v>
      </c>
      <c r="S4" s="332" t="s">
        <v>85</v>
      </c>
      <c r="T4" s="446" t="s">
        <v>4637</v>
      </c>
      <c r="U4" s="207" t="s">
        <v>4639</v>
      </c>
      <c r="V4" s="207" t="s">
        <v>852</v>
      </c>
      <c r="W4" s="207" t="s">
        <v>37</v>
      </c>
      <c r="X4" s="505">
        <v>44215</v>
      </c>
      <c r="Y4" s="207"/>
      <c r="Z4" s="207"/>
      <c r="AA4" s="447"/>
    </row>
    <row r="5" spans="1:27" s="870" customFormat="1" ht="39.75" thickBot="1" x14ac:dyDescent="0.3">
      <c r="A5" s="488"/>
      <c r="B5" s="131"/>
      <c r="C5" s="75"/>
      <c r="D5" s="131"/>
      <c r="E5" s="131"/>
      <c r="F5" s="497"/>
      <c r="G5" s="118"/>
      <c r="H5" s="312"/>
      <c r="I5" s="313"/>
      <c r="J5" s="87">
        <v>810</v>
      </c>
      <c r="K5" s="360" t="s">
        <v>4619</v>
      </c>
      <c r="L5" s="907">
        <v>1377477.861</v>
      </c>
      <c r="M5" s="907">
        <v>4885503.0029999996</v>
      </c>
      <c r="N5" s="199" t="s">
        <v>4634</v>
      </c>
      <c r="O5" s="199" t="s">
        <v>193</v>
      </c>
      <c r="P5" s="199">
        <v>3</v>
      </c>
      <c r="Q5" s="199" t="s">
        <v>9075</v>
      </c>
      <c r="R5" s="380" t="s">
        <v>8973</v>
      </c>
      <c r="S5" s="332" t="s">
        <v>16</v>
      </c>
      <c r="T5" s="446" t="s">
        <v>4638</v>
      </c>
      <c r="U5" s="207" t="s">
        <v>4639</v>
      </c>
      <c r="V5" s="207" t="s">
        <v>852</v>
      </c>
      <c r="W5" s="207" t="s">
        <v>37</v>
      </c>
      <c r="X5" s="505">
        <v>44215</v>
      </c>
      <c r="Y5" s="207"/>
      <c r="Z5" s="207"/>
      <c r="AA5" s="447"/>
    </row>
    <row r="6" spans="1:27" s="870" customFormat="1" ht="39.75" thickBot="1" x14ac:dyDescent="0.3">
      <c r="A6" s="489"/>
      <c r="B6" s="133"/>
      <c r="C6" s="78"/>
      <c r="D6" s="133"/>
      <c r="E6" s="133"/>
      <c r="F6" s="232"/>
      <c r="G6" s="119"/>
      <c r="H6" s="233"/>
      <c r="I6" s="234"/>
      <c r="J6" s="87"/>
      <c r="K6" s="360" t="s">
        <v>4625</v>
      </c>
      <c r="L6" s="907"/>
      <c r="M6" s="907"/>
      <c r="N6" s="199" t="s">
        <v>4634</v>
      </c>
      <c r="O6" s="199" t="s">
        <v>193</v>
      </c>
      <c r="P6" s="199">
        <v>3</v>
      </c>
      <c r="Q6" s="199" t="s">
        <v>9075</v>
      </c>
      <c r="R6" s="380" t="s">
        <v>8973</v>
      </c>
      <c r="S6" s="332" t="s">
        <v>16</v>
      </c>
      <c r="T6" s="446" t="s">
        <v>4637</v>
      </c>
      <c r="U6" s="207" t="s">
        <v>4630</v>
      </c>
      <c r="V6" s="207" t="s">
        <v>852</v>
      </c>
      <c r="W6" s="207" t="s">
        <v>37</v>
      </c>
      <c r="X6" s="505">
        <v>44215</v>
      </c>
      <c r="Y6" s="207"/>
      <c r="Z6" s="207"/>
      <c r="AA6" s="447"/>
    </row>
    <row r="7" spans="1:27" s="869" customFormat="1" ht="52.5" thickBot="1" x14ac:dyDescent="0.3">
      <c r="A7" s="341" t="s">
        <v>7990</v>
      </c>
      <c r="B7" s="181" t="s">
        <v>5161</v>
      </c>
      <c r="C7" s="125">
        <v>321</v>
      </c>
      <c r="D7" s="181" t="s">
        <v>53</v>
      </c>
      <c r="E7" s="181" t="s">
        <v>52</v>
      </c>
      <c r="F7" s="126" t="s">
        <v>567</v>
      </c>
      <c r="G7" s="126" t="s">
        <v>1972</v>
      </c>
      <c r="H7" s="255"/>
      <c r="I7" s="297"/>
      <c r="J7" s="84">
        <v>1217</v>
      </c>
      <c r="K7" s="396" t="s">
        <v>7992</v>
      </c>
      <c r="L7" s="908">
        <v>1841702.8200999999</v>
      </c>
      <c r="M7" s="908">
        <v>5492392.1040000003</v>
      </c>
      <c r="N7" s="109" t="s">
        <v>7993</v>
      </c>
      <c r="O7" s="109" t="s">
        <v>5</v>
      </c>
      <c r="P7" s="109">
        <v>2</v>
      </c>
      <c r="Q7" s="109" t="s">
        <v>10075</v>
      </c>
      <c r="R7" s="396" t="s">
        <v>7994</v>
      </c>
      <c r="S7" s="343" t="s">
        <v>85</v>
      </c>
      <c r="T7" s="833" t="s">
        <v>402</v>
      </c>
      <c r="U7" s="94" t="s">
        <v>10074</v>
      </c>
      <c r="V7" s="94" t="s">
        <v>1682</v>
      </c>
      <c r="W7" s="94" t="s">
        <v>1380</v>
      </c>
      <c r="X7" s="834">
        <v>44421</v>
      </c>
      <c r="Y7" s="94"/>
      <c r="Z7" s="834">
        <v>44294</v>
      </c>
      <c r="AA7" s="836" t="s">
        <v>37</v>
      </c>
    </row>
    <row r="8" spans="1:27" s="869" customFormat="1" ht="51.75" x14ac:dyDescent="0.25">
      <c r="A8" s="339"/>
      <c r="B8" s="116"/>
      <c r="C8" s="95"/>
      <c r="D8" s="116"/>
      <c r="E8" s="116"/>
      <c r="F8" s="108"/>
      <c r="G8" s="108"/>
      <c r="H8" s="259"/>
      <c r="I8" s="298"/>
      <c r="J8" s="189">
        <v>993</v>
      </c>
      <c r="K8" s="355" t="s">
        <v>8579</v>
      </c>
      <c r="L8" s="897">
        <v>1838679.2941999999</v>
      </c>
      <c r="M8" s="897">
        <v>5488261.1571000004</v>
      </c>
      <c r="N8" s="126" t="s">
        <v>8582</v>
      </c>
      <c r="O8" s="126" t="s">
        <v>5</v>
      </c>
      <c r="P8" s="126">
        <v>1</v>
      </c>
      <c r="Q8" s="903" t="s">
        <v>8591</v>
      </c>
      <c r="R8" s="355" t="s">
        <v>8593</v>
      </c>
      <c r="S8" s="344" t="s">
        <v>85</v>
      </c>
      <c r="T8" s="899" t="s">
        <v>8589</v>
      </c>
      <c r="U8" s="30" t="s">
        <v>8629</v>
      </c>
      <c r="V8" s="30" t="s">
        <v>8637</v>
      </c>
      <c r="W8" s="30" t="s">
        <v>37</v>
      </c>
      <c r="X8" s="900">
        <v>44397</v>
      </c>
      <c r="Y8" s="30"/>
      <c r="Z8" s="900"/>
      <c r="AA8" s="728"/>
    </row>
    <row r="9" spans="1:27" s="869" customFormat="1" ht="51.75" x14ac:dyDescent="0.25">
      <c r="A9" s="339"/>
      <c r="B9" s="116"/>
      <c r="C9" s="95"/>
      <c r="D9" s="116"/>
      <c r="E9" s="116"/>
      <c r="F9" s="108"/>
      <c r="G9" s="108"/>
      <c r="H9" s="259"/>
      <c r="I9" s="298"/>
      <c r="J9" s="191">
        <v>994</v>
      </c>
      <c r="K9" s="359" t="s">
        <v>8578</v>
      </c>
      <c r="L9" s="896">
        <v>1838607.8979</v>
      </c>
      <c r="M9" s="896">
        <v>5488157.2231000001</v>
      </c>
      <c r="N9" s="108" t="s">
        <v>8583</v>
      </c>
      <c r="O9" s="108" t="s">
        <v>61</v>
      </c>
      <c r="P9" s="108" t="s">
        <v>419</v>
      </c>
      <c r="Q9" s="108" t="s">
        <v>5653</v>
      </c>
      <c r="R9" s="359" t="s">
        <v>8595</v>
      </c>
      <c r="S9" s="184" t="s">
        <v>85</v>
      </c>
      <c r="T9" s="901" t="s">
        <v>8589</v>
      </c>
      <c r="U9" s="45" t="s">
        <v>8629</v>
      </c>
      <c r="V9" s="45" t="s">
        <v>8637</v>
      </c>
      <c r="W9" s="45" t="s">
        <v>37</v>
      </c>
      <c r="X9" s="895">
        <v>44397</v>
      </c>
      <c r="Y9" s="45"/>
      <c r="Z9" s="895"/>
      <c r="AA9" s="729"/>
    </row>
    <row r="10" spans="1:27" s="869" customFormat="1" ht="51.75" x14ac:dyDescent="0.25">
      <c r="A10" s="339"/>
      <c r="B10" s="116"/>
      <c r="C10" s="95"/>
      <c r="D10" s="116"/>
      <c r="E10" s="116"/>
      <c r="F10" s="108"/>
      <c r="G10" s="108"/>
      <c r="H10" s="259"/>
      <c r="I10" s="298"/>
      <c r="J10" s="191">
        <v>995</v>
      </c>
      <c r="K10" s="359" t="s">
        <v>8580</v>
      </c>
      <c r="L10" s="896">
        <v>1838892.8437999999</v>
      </c>
      <c r="M10" s="896">
        <v>5488683.7089999998</v>
      </c>
      <c r="N10" s="108" t="s">
        <v>8584</v>
      </c>
      <c r="O10" s="108" t="s">
        <v>61</v>
      </c>
      <c r="P10" s="108" t="s">
        <v>419</v>
      </c>
      <c r="Q10" s="108" t="s">
        <v>8598</v>
      </c>
      <c r="R10" s="359" t="s">
        <v>8592</v>
      </c>
      <c r="S10" s="184" t="s">
        <v>85</v>
      </c>
      <c r="T10" s="901" t="s">
        <v>8590</v>
      </c>
      <c r="U10" s="45" t="s">
        <v>8630</v>
      </c>
      <c r="V10" s="45" t="s">
        <v>8637</v>
      </c>
      <c r="W10" s="45" t="s">
        <v>37</v>
      </c>
      <c r="X10" s="895">
        <v>44397</v>
      </c>
      <c r="Y10" s="45"/>
      <c r="Z10" s="895"/>
      <c r="AA10" s="729"/>
    </row>
    <row r="11" spans="1:27" s="869" customFormat="1" ht="64.5" x14ac:dyDescent="0.25">
      <c r="A11" s="339"/>
      <c r="B11" s="116"/>
      <c r="C11" s="95"/>
      <c r="D11" s="116"/>
      <c r="E11" s="116"/>
      <c r="F11" s="108"/>
      <c r="G11" s="108"/>
      <c r="H11" s="259"/>
      <c r="I11" s="298"/>
      <c r="J11" s="191">
        <v>996</v>
      </c>
      <c r="K11" s="359" t="s">
        <v>8577</v>
      </c>
      <c r="L11" s="896">
        <v>1837778.9369999999</v>
      </c>
      <c r="M11" s="896">
        <v>5487961.7300000004</v>
      </c>
      <c r="N11" s="108" t="s">
        <v>8585</v>
      </c>
      <c r="O11" s="108" t="s">
        <v>5</v>
      </c>
      <c r="P11" s="108">
        <v>1</v>
      </c>
      <c r="Q11" s="904" t="s">
        <v>8596</v>
      </c>
      <c r="R11" s="359" t="s">
        <v>8594</v>
      </c>
      <c r="S11" s="184" t="s">
        <v>16</v>
      </c>
      <c r="T11" s="901" t="s">
        <v>8589</v>
      </c>
      <c r="U11" s="45" t="s">
        <v>8631</v>
      </c>
      <c r="V11" s="45" t="s">
        <v>8637</v>
      </c>
      <c r="W11" s="45" t="s">
        <v>37</v>
      </c>
      <c r="X11" s="895">
        <v>44397</v>
      </c>
      <c r="Y11" s="45"/>
      <c r="Z11" s="895"/>
      <c r="AA11" s="729"/>
    </row>
    <row r="12" spans="1:27" s="869" customFormat="1" ht="51.75" x14ac:dyDescent="0.25">
      <c r="A12" s="339"/>
      <c r="B12" s="116"/>
      <c r="C12" s="95"/>
      <c r="D12" s="116"/>
      <c r="E12" s="116"/>
      <c r="F12" s="108"/>
      <c r="G12" s="108"/>
      <c r="H12" s="259"/>
      <c r="I12" s="298"/>
      <c r="J12" s="191">
        <v>997</v>
      </c>
      <c r="K12" s="359" t="s">
        <v>8575</v>
      </c>
      <c r="L12" s="896">
        <v>1836566.7283999999</v>
      </c>
      <c r="M12" s="896">
        <v>5487765.8606000002</v>
      </c>
      <c r="N12" s="108" t="s">
        <v>8586</v>
      </c>
      <c r="O12" s="108" t="s">
        <v>61</v>
      </c>
      <c r="P12" s="108" t="s">
        <v>419</v>
      </c>
      <c r="Q12" s="108" t="s">
        <v>8599</v>
      </c>
      <c r="R12" s="359" t="s">
        <v>8595</v>
      </c>
      <c r="S12" s="184" t="s">
        <v>85</v>
      </c>
      <c r="T12" s="901" t="s">
        <v>604</v>
      </c>
      <c r="U12" s="45" t="s">
        <v>8629</v>
      </c>
      <c r="V12" s="45" t="s">
        <v>8637</v>
      </c>
      <c r="W12" s="45" t="s">
        <v>37</v>
      </c>
      <c r="X12" s="895">
        <v>44397</v>
      </c>
      <c r="Y12" s="45"/>
      <c r="Z12" s="895"/>
      <c r="AA12" s="729"/>
    </row>
    <row r="13" spans="1:27" s="869" customFormat="1" ht="64.5" x14ac:dyDescent="0.25">
      <c r="A13" s="339"/>
      <c r="B13" s="116"/>
      <c r="C13" s="95"/>
      <c r="D13" s="116"/>
      <c r="E13" s="116"/>
      <c r="F13" s="108"/>
      <c r="G13" s="108"/>
      <c r="H13" s="259"/>
      <c r="I13" s="298"/>
      <c r="J13" s="191">
        <v>998</v>
      </c>
      <c r="K13" s="359" t="s">
        <v>8576</v>
      </c>
      <c r="L13" s="896">
        <v>1836328.6387</v>
      </c>
      <c r="M13" s="896">
        <v>5487753.8733000001</v>
      </c>
      <c r="N13" s="108" t="s">
        <v>8587</v>
      </c>
      <c r="O13" s="108" t="s">
        <v>61</v>
      </c>
      <c r="P13" s="108" t="s">
        <v>419</v>
      </c>
      <c r="Q13" s="108" t="s">
        <v>8600</v>
      </c>
      <c r="R13" s="359" t="s">
        <v>8595</v>
      </c>
      <c r="S13" s="184" t="s">
        <v>85</v>
      </c>
      <c r="T13" s="901" t="s">
        <v>341</v>
      </c>
      <c r="U13" s="45" t="s">
        <v>8632</v>
      </c>
      <c r="V13" s="45" t="s">
        <v>8637</v>
      </c>
      <c r="W13" s="45" t="s">
        <v>37</v>
      </c>
      <c r="X13" s="895">
        <v>44397</v>
      </c>
      <c r="Y13" s="45"/>
      <c r="Z13" s="895"/>
      <c r="AA13" s="729"/>
    </row>
    <row r="14" spans="1:27" s="869" customFormat="1" ht="52.5" thickBot="1" x14ac:dyDescent="0.3">
      <c r="A14" s="336"/>
      <c r="B14" s="196"/>
      <c r="C14" s="96"/>
      <c r="D14" s="196"/>
      <c r="E14" s="196"/>
      <c r="F14" s="107"/>
      <c r="G14" s="107"/>
      <c r="H14" s="262"/>
      <c r="I14" s="299"/>
      <c r="J14" s="190">
        <v>999</v>
      </c>
      <c r="K14" s="357" t="s">
        <v>8581</v>
      </c>
      <c r="L14" s="898">
        <v>1843895.0249000001</v>
      </c>
      <c r="M14" s="898">
        <v>5496085.6111000003</v>
      </c>
      <c r="N14" s="107" t="s">
        <v>8588</v>
      </c>
      <c r="O14" s="107" t="s">
        <v>61</v>
      </c>
      <c r="P14" s="107" t="s">
        <v>419</v>
      </c>
      <c r="Q14" s="107" t="s">
        <v>8601</v>
      </c>
      <c r="R14" s="357" t="s">
        <v>8597</v>
      </c>
      <c r="S14" s="127" t="s">
        <v>16</v>
      </c>
      <c r="T14" s="853" t="s">
        <v>24</v>
      </c>
      <c r="U14" s="51" t="s">
        <v>8633</v>
      </c>
      <c r="V14" s="51" t="s">
        <v>8637</v>
      </c>
      <c r="W14" s="51" t="s">
        <v>37</v>
      </c>
      <c r="X14" s="902">
        <v>44397</v>
      </c>
      <c r="Y14" s="51"/>
      <c r="Z14" s="902"/>
      <c r="AA14" s="727"/>
    </row>
    <row r="15" spans="1:27" s="869" customFormat="1" ht="27" thickBot="1" x14ac:dyDescent="0.3">
      <c r="A15" s="1114" t="s">
        <v>86</v>
      </c>
      <c r="B15" s="780" t="s">
        <v>6795</v>
      </c>
      <c r="C15" s="431">
        <v>599</v>
      </c>
      <c r="D15" s="858" t="s">
        <v>53</v>
      </c>
      <c r="E15" s="858"/>
      <c r="F15" s="158" t="s">
        <v>152</v>
      </c>
      <c r="G15" s="157" t="s">
        <v>1974</v>
      </c>
      <c r="H15" s="157"/>
      <c r="I15" s="349"/>
      <c r="J15" s="425">
        <v>14</v>
      </c>
      <c r="K15" s="472" t="s">
        <v>143</v>
      </c>
      <c r="L15" s="934">
        <v>1207944.5079558501</v>
      </c>
      <c r="M15" s="934">
        <v>5071990.0023977896</v>
      </c>
      <c r="N15" s="426" t="s">
        <v>142</v>
      </c>
      <c r="O15" s="426" t="s">
        <v>61</v>
      </c>
      <c r="P15" s="426">
        <v>10</v>
      </c>
      <c r="Q15" s="248" t="s">
        <v>158</v>
      </c>
      <c r="R15" s="598" t="s">
        <v>3798</v>
      </c>
      <c r="S15" s="427" t="s">
        <v>16</v>
      </c>
      <c r="T15" s="94" t="s">
        <v>144</v>
      </c>
      <c r="U15" s="92" t="s">
        <v>145</v>
      </c>
      <c r="V15" s="92" t="s">
        <v>146</v>
      </c>
      <c r="W15" s="92" t="s">
        <v>37</v>
      </c>
      <c r="X15" s="93">
        <v>43976</v>
      </c>
      <c r="Y15" s="92"/>
      <c r="Z15" s="368"/>
      <c r="AA15" s="1108"/>
    </row>
    <row r="16" spans="1:27" s="871" customFormat="1" ht="51.75" x14ac:dyDescent="0.25">
      <c r="A16" s="1136"/>
      <c r="B16" s="1137"/>
      <c r="C16" s="430"/>
      <c r="D16" s="859"/>
      <c r="E16" s="859"/>
      <c r="F16" s="162"/>
      <c r="G16" s="161"/>
      <c r="H16" s="161"/>
      <c r="I16" s="423"/>
      <c r="J16" s="161">
        <v>447</v>
      </c>
      <c r="K16" s="434" t="s">
        <v>3115</v>
      </c>
      <c r="L16" s="919">
        <v>1208032.4683000001</v>
      </c>
      <c r="M16" s="919">
        <v>5072092.1469999999</v>
      </c>
      <c r="N16" s="163">
        <v>8</v>
      </c>
      <c r="O16" s="163" t="s">
        <v>5</v>
      </c>
      <c r="P16" s="163">
        <v>3</v>
      </c>
      <c r="Q16" s="163" t="s">
        <v>9058</v>
      </c>
      <c r="R16" s="434" t="s">
        <v>9060</v>
      </c>
      <c r="S16" s="161" t="s">
        <v>85</v>
      </c>
      <c r="T16" s="846" t="s">
        <v>402</v>
      </c>
      <c r="U16" s="152" t="s">
        <v>3117</v>
      </c>
      <c r="V16" s="152" t="s">
        <v>3119</v>
      </c>
      <c r="W16" s="40" t="s">
        <v>37</v>
      </c>
      <c r="X16" s="170">
        <v>44132</v>
      </c>
      <c r="Y16" s="40"/>
      <c r="Z16" s="361"/>
      <c r="AA16" s="1112"/>
    </row>
    <row r="17" spans="1:27" s="871" customFormat="1" ht="52.5" thickBot="1" x14ac:dyDescent="0.3">
      <c r="A17" s="1138"/>
      <c r="B17" s="1139"/>
      <c r="C17" s="432"/>
      <c r="D17" s="860"/>
      <c r="E17" s="860"/>
      <c r="F17" s="166"/>
      <c r="G17" s="165"/>
      <c r="H17" s="165"/>
      <c r="I17" s="424"/>
      <c r="J17" s="165">
        <v>448</v>
      </c>
      <c r="K17" s="435" t="s">
        <v>3116</v>
      </c>
      <c r="L17" s="925">
        <v>1208046.3589999999</v>
      </c>
      <c r="M17" s="925">
        <v>5072110.3372</v>
      </c>
      <c r="N17" s="167">
        <v>9</v>
      </c>
      <c r="O17" s="167" t="s">
        <v>5</v>
      </c>
      <c r="P17" s="167">
        <v>2</v>
      </c>
      <c r="Q17" s="167" t="s">
        <v>9059</v>
      </c>
      <c r="R17" s="435" t="s">
        <v>9060</v>
      </c>
      <c r="S17" s="165" t="s">
        <v>85</v>
      </c>
      <c r="T17" s="848" t="s">
        <v>402</v>
      </c>
      <c r="U17" s="155" t="s">
        <v>3118</v>
      </c>
      <c r="V17" s="155" t="s">
        <v>3119</v>
      </c>
      <c r="W17" s="52" t="s">
        <v>37</v>
      </c>
      <c r="X17" s="172">
        <v>44132</v>
      </c>
      <c r="Y17" s="52"/>
      <c r="Z17" s="362"/>
      <c r="AA17" s="1111"/>
    </row>
    <row r="18" spans="1:27" s="871" customFormat="1" ht="64.5" x14ac:dyDescent="0.25">
      <c r="A18" s="487" t="s">
        <v>86</v>
      </c>
      <c r="B18" s="128" t="s">
        <v>6797</v>
      </c>
      <c r="C18" s="72">
        <v>598</v>
      </c>
      <c r="D18" s="586" t="s">
        <v>53</v>
      </c>
      <c r="E18" s="586" t="s">
        <v>52</v>
      </c>
      <c r="F18" s="72" t="s">
        <v>197</v>
      </c>
      <c r="G18" s="140" t="s">
        <v>1972</v>
      </c>
      <c r="H18" s="72"/>
      <c r="I18" s="873"/>
      <c r="J18" s="72">
        <v>414</v>
      </c>
      <c r="K18" s="73" t="s">
        <v>3081</v>
      </c>
      <c r="L18" s="914">
        <v>1284228.1719</v>
      </c>
      <c r="M18" s="914">
        <v>5130751.1551999999</v>
      </c>
      <c r="N18" s="129" t="s">
        <v>3084</v>
      </c>
      <c r="O18" s="129" t="s">
        <v>5</v>
      </c>
      <c r="P18" s="129">
        <v>1</v>
      </c>
      <c r="Q18" s="129" t="s">
        <v>9067</v>
      </c>
      <c r="R18" s="73" t="s">
        <v>9060</v>
      </c>
      <c r="S18" s="74" t="s">
        <v>85</v>
      </c>
      <c r="T18" s="846" t="s">
        <v>58</v>
      </c>
      <c r="U18" s="152" t="s">
        <v>3089</v>
      </c>
      <c r="V18" s="152" t="s">
        <v>9212</v>
      </c>
      <c r="W18" s="152" t="s">
        <v>37</v>
      </c>
      <c r="X18" s="170">
        <v>44131</v>
      </c>
      <c r="Y18" s="152"/>
      <c r="Z18" s="361"/>
      <c r="AA18" s="1112"/>
    </row>
    <row r="19" spans="1:27" s="871" customFormat="1" ht="77.25" x14ac:dyDescent="0.25">
      <c r="A19" s="1038"/>
      <c r="B19" s="571"/>
      <c r="C19" s="67"/>
      <c r="D19" s="580"/>
      <c r="E19" s="580"/>
      <c r="F19" s="143"/>
      <c r="G19" s="75"/>
      <c r="H19" s="75"/>
      <c r="I19" s="121"/>
      <c r="J19" s="75">
        <v>415</v>
      </c>
      <c r="K19" s="76" t="s">
        <v>3082</v>
      </c>
      <c r="L19" s="915">
        <v>1284135.2479999999</v>
      </c>
      <c r="M19" s="915">
        <v>5130681.932</v>
      </c>
      <c r="N19" s="118">
        <v>9.3000000000000007</v>
      </c>
      <c r="O19" s="118" t="s">
        <v>5</v>
      </c>
      <c r="P19" s="118">
        <v>3</v>
      </c>
      <c r="Q19" s="118" t="s">
        <v>9066</v>
      </c>
      <c r="R19" s="76" t="s">
        <v>9060</v>
      </c>
      <c r="S19" s="77" t="s">
        <v>16</v>
      </c>
      <c r="T19" s="847" t="s">
        <v>402</v>
      </c>
      <c r="U19" s="137" t="s">
        <v>3091</v>
      </c>
      <c r="V19" s="137" t="s">
        <v>9212</v>
      </c>
      <c r="W19" s="137" t="s">
        <v>37</v>
      </c>
      <c r="X19" s="139">
        <v>44131</v>
      </c>
      <c r="Y19" s="137"/>
      <c r="Z19" s="358"/>
      <c r="AA19" s="1110"/>
    </row>
    <row r="20" spans="1:27" s="871" customFormat="1" ht="78" thickBot="1" x14ac:dyDescent="0.3">
      <c r="A20" s="1038"/>
      <c r="B20" s="571"/>
      <c r="C20" s="67"/>
      <c r="D20" s="580"/>
      <c r="E20" s="580"/>
      <c r="F20" s="143"/>
      <c r="G20" s="75"/>
      <c r="H20" s="75"/>
      <c r="I20" s="121"/>
      <c r="J20" s="78">
        <v>416</v>
      </c>
      <c r="K20" s="79" t="s">
        <v>3083</v>
      </c>
      <c r="L20" s="916">
        <v>1284060.4918</v>
      </c>
      <c r="M20" s="916">
        <v>5130623.3299000002</v>
      </c>
      <c r="N20" s="119" t="s">
        <v>3085</v>
      </c>
      <c r="O20" s="119" t="s">
        <v>5</v>
      </c>
      <c r="P20" s="119">
        <v>1</v>
      </c>
      <c r="Q20" s="119" t="s">
        <v>9059</v>
      </c>
      <c r="R20" s="79" t="s">
        <v>9060</v>
      </c>
      <c r="S20" s="80" t="s">
        <v>85</v>
      </c>
      <c r="T20" s="848" t="s">
        <v>24</v>
      </c>
      <c r="U20" s="155" t="s">
        <v>3092</v>
      </c>
      <c r="V20" s="155" t="s">
        <v>9212</v>
      </c>
      <c r="W20" s="155" t="s">
        <v>37</v>
      </c>
      <c r="X20" s="172">
        <v>44131</v>
      </c>
      <c r="Y20" s="155"/>
      <c r="Z20" s="362"/>
      <c r="AA20" s="1111"/>
    </row>
    <row r="21" spans="1:27" s="871" customFormat="1" ht="39" x14ac:dyDescent="0.25">
      <c r="A21" s="1038"/>
      <c r="B21" s="571"/>
      <c r="C21" s="67"/>
      <c r="D21" s="580"/>
      <c r="E21" s="580"/>
      <c r="F21" s="143"/>
      <c r="G21" s="75"/>
      <c r="H21" s="75"/>
      <c r="I21" s="121"/>
      <c r="J21" s="72">
        <v>434</v>
      </c>
      <c r="K21" s="73" t="s">
        <v>3086</v>
      </c>
      <c r="L21" s="914">
        <v>1277943.1723</v>
      </c>
      <c r="M21" s="914">
        <v>5126576.2686000001</v>
      </c>
      <c r="N21" s="129" t="s">
        <v>3088</v>
      </c>
      <c r="O21" s="129" t="s">
        <v>5</v>
      </c>
      <c r="P21" s="129">
        <v>1</v>
      </c>
      <c r="Q21" s="129" t="s">
        <v>9068</v>
      </c>
      <c r="R21" s="73" t="s">
        <v>9060</v>
      </c>
      <c r="S21" s="74" t="s">
        <v>16</v>
      </c>
      <c r="T21" s="846" t="s">
        <v>24</v>
      </c>
      <c r="U21" s="152" t="s">
        <v>3090</v>
      </c>
      <c r="V21" s="152" t="s">
        <v>9212</v>
      </c>
      <c r="W21" s="152" t="s">
        <v>37</v>
      </c>
      <c r="X21" s="170">
        <v>44131</v>
      </c>
      <c r="Y21" s="152"/>
      <c r="Z21" s="361"/>
      <c r="AA21" s="1112"/>
    </row>
    <row r="22" spans="1:27" s="871" customFormat="1" ht="39.75" thickBot="1" x14ac:dyDescent="0.3">
      <c r="A22" s="1038"/>
      <c r="B22" s="571"/>
      <c r="C22" s="67"/>
      <c r="D22" s="580"/>
      <c r="E22" s="580"/>
      <c r="F22" s="143"/>
      <c r="G22" s="75"/>
      <c r="H22" s="75"/>
      <c r="I22" s="121"/>
      <c r="J22" s="78">
        <v>435</v>
      </c>
      <c r="K22" s="79" t="s">
        <v>3087</v>
      </c>
      <c r="L22" s="916">
        <v>1277880.2242000001</v>
      </c>
      <c r="M22" s="916">
        <v>5126530.6209000004</v>
      </c>
      <c r="N22" s="119" t="s">
        <v>3088</v>
      </c>
      <c r="O22" s="119" t="s">
        <v>5</v>
      </c>
      <c r="P22" s="119">
        <v>1</v>
      </c>
      <c r="Q22" s="119" t="s">
        <v>9068</v>
      </c>
      <c r="R22" s="79" t="s">
        <v>9060</v>
      </c>
      <c r="S22" s="80" t="s">
        <v>16</v>
      </c>
      <c r="T22" s="848" t="s">
        <v>24</v>
      </c>
      <c r="U22" s="155" t="s">
        <v>3090</v>
      </c>
      <c r="V22" s="155" t="s">
        <v>9212</v>
      </c>
      <c r="W22" s="155" t="s">
        <v>37</v>
      </c>
      <c r="X22" s="172">
        <v>44131</v>
      </c>
      <c r="Y22" s="155"/>
      <c r="Z22" s="362"/>
      <c r="AA22" s="1111"/>
    </row>
    <row r="23" spans="1:27" s="871" customFormat="1" ht="52.5" thickBot="1" x14ac:dyDescent="0.3">
      <c r="A23" s="1038"/>
      <c r="B23" s="571"/>
      <c r="C23" s="67"/>
      <c r="D23" s="580"/>
      <c r="E23" s="580"/>
      <c r="F23" s="143"/>
      <c r="G23" s="75"/>
      <c r="H23" s="75"/>
      <c r="I23" s="121"/>
      <c r="J23" s="72">
        <v>450</v>
      </c>
      <c r="K23" s="73" t="s">
        <v>3123</v>
      </c>
      <c r="L23" s="914">
        <v>1373190.1969000001</v>
      </c>
      <c r="M23" s="914">
        <v>1373190.1969000001</v>
      </c>
      <c r="N23" s="129" t="s">
        <v>1418</v>
      </c>
      <c r="O23" s="129" t="s">
        <v>5</v>
      </c>
      <c r="P23" s="129">
        <v>2</v>
      </c>
      <c r="Q23" s="129" t="s">
        <v>9065</v>
      </c>
      <c r="R23" s="73" t="s">
        <v>9060</v>
      </c>
      <c r="S23" s="72" t="s">
        <v>16</v>
      </c>
      <c r="T23" s="446" t="s">
        <v>24</v>
      </c>
      <c r="U23" s="208" t="s">
        <v>3128</v>
      </c>
      <c r="V23" s="208" t="s">
        <v>3124</v>
      </c>
      <c r="W23" s="208" t="s">
        <v>37</v>
      </c>
      <c r="X23" s="209">
        <v>44133</v>
      </c>
      <c r="Y23" s="208"/>
      <c r="Z23" s="364"/>
      <c r="AA23" s="1109"/>
    </row>
    <row r="24" spans="1:27" s="871" customFormat="1" ht="90" x14ac:dyDescent="0.25">
      <c r="A24" s="1038"/>
      <c r="B24" s="571"/>
      <c r="C24" s="67"/>
      <c r="D24" s="580"/>
      <c r="E24" s="580"/>
      <c r="F24" s="143"/>
      <c r="G24" s="75"/>
      <c r="H24" s="75"/>
      <c r="I24" s="121"/>
      <c r="J24" s="72">
        <v>451</v>
      </c>
      <c r="K24" s="73" t="s">
        <v>26</v>
      </c>
      <c r="L24" s="914">
        <v>1381958.4631000001</v>
      </c>
      <c r="M24" s="914">
        <v>5199928.8141000001</v>
      </c>
      <c r="N24" s="129" t="s">
        <v>3125</v>
      </c>
      <c r="O24" s="129" t="s">
        <v>5</v>
      </c>
      <c r="P24" s="129">
        <v>2</v>
      </c>
      <c r="Q24" s="129" t="s">
        <v>9064</v>
      </c>
      <c r="R24" s="73" t="s">
        <v>9060</v>
      </c>
      <c r="S24" s="74" t="s">
        <v>16</v>
      </c>
      <c r="T24" s="846" t="s">
        <v>24</v>
      </c>
      <c r="U24" s="152" t="s">
        <v>3130</v>
      </c>
      <c r="V24" s="152" t="s">
        <v>3124</v>
      </c>
      <c r="W24" s="152" t="s">
        <v>37</v>
      </c>
      <c r="X24" s="170">
        <v>44133</v>
      </c>
      <c r="Y24" s="152"/>
      <c r="Z24" s="361"/>
      <c r="AA24" s="1112"/>
    </row>
    <row r="25" spans="1:27" s="871" customFormat="1" ht="90" x14ac:dyDescent="0.25">
      <c r="A25" s="1038"/>
      <c r="B25" s="571"/>
      <c r="C25" s="67"/>
      <c r="D25" s="580"/>
      <c r="E25" s="580"/>
      <c r="F25" s="143"/>
      <c r="G25" s="75"/>
      <c r="H25" s="75"/>
      <c r="I25" s="121"/>
      <c r="J25" s="75">
        <v>452</v>
      </c>
      <c r="K25" s="76" t="s">
        <v>3126</v>
      </c>
      <c r="L25" s="915">
        <v>1382033.9088000001</v>
      </c>
      <c r="M25" s="915">
        <v>5199981.9784000004</v>
      </c>
      <c r="N25" s="118" t="s">
        <v>3127</v>
      </c>
      <c r="O25" s="118" t="s">
        <v>5</v>
      </c>
      <c r="P25" s="118">
        <v>2</v>
      </c>
      <c r="Q25" s="118" t="s">
        <v>9063</v>
      </c>
      <c r="R25" s="76" t="s">
        <v>9060</v>
      </c>
      <c r="S25" s="77" t="s">
        <v>16</v>
      </c>
      <c r="T25" s="847" t="s">
        <v>3126</v>
      </c>
      <c r="U25" s="137" t="s">
        <v>3131</v>
      </c>
      <c r="V25" s="137" t="s">
        <v>3124</v>
      </c>
      <c r="W25" s="137" t="s">
        <v>37</v>
      </c>
      <c r="X25" s="139">
        <v>44133</v>
      </c>
      <c r="Y25" s="137"/>
      <c r="Z25" s="358"/>
      <c r="AA25" s="1110"/>
    </row>
    <row r="26" spans="1:27" s="871" customFormat="1" ht="52.5" thickBot="1" x14ac:dyDescent="0.3">
      <c r="A26" s="1038"/>
      <c r="B26" s="571"/>
      <c r="C26" s="67"/>
      <c r="D26" s="580"/>
      <c r="E26" s="580"/>
      <c r="F26" s="143"/>
      <c r="G26" s="75"/>
      <c r="H26" s="75"/>
      <c r="I26" s="121"/>
      <c r="J26" s="78">
        <v>5704</v>
      </c>
      <c r="K26" s="79" t="s">
        <v>3129</v>
      </c>
      <c r="L26" s="916">
        <v>1382153.5007</v>
      </c>
      <c r="M26" s="916">
        <v>5200040.1869000001</v>
      </c>
      <c r="N26" s="119" t="s">
        <v>619</v>
      </c>
      <c r="O26" s="119" t="s">
        <v>5</v>
      </c>
      <c r="P26" s="119">
        <v>4</v>
      </c>
      <c r="Q26" s="119" t="s">
        <v>9062</v>
      </c>
      <c r="R26" s="79" t="s">
        <v>9060</v>
      </c>
      <c r="S26" s="80" t="s">
        <v>10</v>
      </c>
      <c r="T26" s="848" t="s">
        <v>58</v>
      </c>
      <c r="U26" s="155" t="s">
        <v>3132</v>
      </c>
      <c r="V26" s="155" t="s">
        <v>3124</v>
      </c>
      <c r="W26" s="155" t="s">
        <v>37</v>
      </c>
      <c r="X26" s="172">
        <v>44133</v>
      </c>
      <c r="Y26" s="155"/>
      <c r="Z26" s="362"/>
      <c r="AA26" s="1111"/>
    </row>
    <row r="27" spans="1:27" s="871" customFormat="1" ht="65.25" thickBot="1" x14ac:dyDescent="0.3">
      <c r="A27" s="1038"/>
      <c r="B27" s="571"/>
      <c r="C27" s="67"/>
      <c r="D27" s="580"/>
      <c r="E27" s="580"/>
      <c r="F27" s="143"/>
      <c r="G27" s="75"/>
      <c r="H27" s="75"/>
      <c r="I27" s="121"/>
      <c r="J27" s="83">
        <v>453</v>
      </c>
      <c r="K27" s="360" t="s">
        <v>3133</v>
      </c>
      <c r="L27" s="198">
        <v>1390695.5024999999</v>
      </c>
      <c r="M27" s="198">
        <v>5206474.9987000003</v>
      </c>
      <c r="N27" s="199" t="s">
        <v>3134</v>
      </c>
      <c r="O27" s="199" t="s">
        <v>5</v>
      </c>
      <c r="P27" s="199">
        <v>2</v>
      </c>
      <c r="Q27" s="199" t="s">
        <v>9061</v>
      </c>
      <c r="R27" s="360" t="s">
        <v>9060</v>
      </c>
      <c r="S27" s="88" t="s">
        <v>85</v>
      </c>
      <c r="T27" s="446" t="s">
        <v>798</v>
      </c>
      <c r="U27" s="208" t="s">
        <v>3135</v>
      </c>
      <c r="V27" s="208" t="s">
        <v>3124</v>
      </c>
      <c r="W27" s="208" t="s">
        <v>37</v>
      </c>
      <c r="X27" s="209">
        <v>44133</v>
      </c>
      <c r="Y27" s="208"/>
      <c r="Z27" s="364"/>
      <c r="AA27" s="1109"/>
    </row>
    <row r="28" spans="1:27" s="871" customFormat="1" ht="90.75" thickBot="1" x14ac:dyDescent="0.3">
      <c r="A28" s="1047"/>
      <c r="B28" s="323"/>
      <c r="C28" s="69"/>
      <c r="D28" s="857"/>
      <c r="E28" s="857"/>
      <c r="F28" s="144"/>
      <c r="G28" s="78"/>
      <c r="H28" s="78"/>
      <c r="I28" s="429"/>
      <c r="J28" s="83">
        <v>454</v>
      </c>
      <c r="K28" s="360" t="s">
        <v>3136</v>
      </c>
      <c r="L28" s="198">
        <v>1391202.6436000001</v>
      </c>
      <c r="M28" s="198">
        <v>5206778.0795</v>
      </c>
      <c r="N28" s="199" t="s">
        <v>3137</v>
      </c>
      <c r="O28" s="199" t="s">
        <v>5</v>
      </c>
      <c r="P28" s="199">
        <v>2</v>
      </c>
      <c r="Q28" s="199" t="s">
        <v>9069</v>
      </c>
      <c r="R28" s="360" t="s">
        <v>9060</v>
      </c>
      <c r="S28" s="88" t="s">
        <v>85</v>
      </c>
      <c r="T28" s="446" t="s">
        <v>58</v>
      </c>
      <c r="U28" s="208" t="s">
        <v>3138</v>
      </c>
      <c r="V28" s="208" t="s">
        <v>3124</v>
      </c>
      <c r="W28" s="208" t="s">
        <v>37</v>
      </c>
      <c r="X28" s="209">
        <v>44133</v>
      </c>
      <c r="Y28" s="208"/>
      <c r="Z28" s="364"/>
      <c r="AA28" s="1109"/>
    </row>
    <row r="29" spans="1:27" s="869" customFormat="1" ht="27" thickBot="1" x14ac:dyDescent="0.3">
      <c r="A29" s="341" t="s">
        <v>86</v>
      </c>
      <c r="B29" s="181" t="s">
        <v>6796</v>
      </c>
      <c r="C29" s="125">
        <v>597</v>
      </c>
      <c r="D29" s="181" t="s">
        <v>6844</v>
      </c>
      <c r="E29" s="585"/>
      <c r="F29" s="125" t="s">
        <v>554</v>
      </c>
      <c r="G29" s="145" t="s">
        <v>4986</v>
      </c>
      <c r="H29" s="813"/>
      <c r="I29" s="814"/>
      <c r="J29" s="89">
        <v>488</v>
      </c>
      <c r="K29" s="396" t="s">
        <v>3261</v>
      </c>
      <c r="L29" s="908">
        <v>1527558.7296</v>
      </c>
      <c r="M29" s="908">
        <v>5304350.8830000004</v>
      </c>
      <c r="N29" s="109" t="s">
        <v>3259</v>
      </c>
      <c r="O29" s="109" t="s">
        <v>5</v>
      </c>
      <c r="P29" s="109">
        <v>1</v>
      </c>
      <c r="Q29" s="296" t="s">
        <v>9073</v>
      </c>
      <c r="R29" s="449" t="s">
        <v>9060</v>
      </c>
      <c r="S29" s="343" t="s">
        <v>16</v>
      </c>
      <c r="T29" s="446" t="s">
        <v>58</v>
      </c>
      <c r="U29" s="208" t="s">
        <v>3256</v>
      </c>
      <c r="V29" s="208" t="s">
        <v>3247</v>
      </c>
      <c r="W29" s="208" t="s">
        <v>37</v>
      </c>
      <c r="X29" s="209">
        <v>44137</v>
      </c>
      <c r="Y29" s="208"/>
      <c r="Z29" s="207"/>
      <c r="AA29" s="447"/>
    </row>
    <row r="30" spans="1:27" s="872" customFormat="1" ht="27" thickBot="1" x14ac:dyDescent="0.3">
      <c r="A30" s="339"/>
      <c r="B30" s="116"/>
      <c r="C30" s="95"/>
      <c r="D30" s="567"/>
      <c r="E30" s="567"/>
      <c r="F30" s="95"/>
      <c r="G30" s="146"/>
      <c r="H30" s="448"/>
      <c r="I30" s="815"/>
      <c r="J30" s="89">
        <v>511</v>
      </c>
      <c r="K30" s="396" t="s">
        <v>3353</v>
      </c>
      <c r="L30" s="908">
        <v>1474391.9458000001</v>
      </c>
      <c r="M30" s="908">
        <v>5268460.7342999997</v>
      </c>
      <c r="N30" s="109" t="s">
        <v>1319</v>
      </c>
      <c r="O30" s="109" t="s">
        <v>5</v>
      </c>
      <c r="P30" s="109">
        <v>1</v>
      </c>
      <c r="Q30" s="109" t="s">
        <v>9072</v>
      </c>
      <c r="R30" s="449" t="s">
        <v>9060</v>
      </c>
      <c r="S30" s="343" t="s">
        <v>16</v>
      </c>
      <c r="T30" s="446" t="s">
        <v>24</v>
      </c>
      <c r="U30" s="208" t="s">
        <v>3256</v>
      </c>
      <c r="V30" s="208" t="s">
        <v>3351</v>
      </c>
      <c r="W30" s="208" t="s">
        <v>37</v>
      </c>
      <c r="X30" s="209">
        <v>44144</v>
      </c>
      <c r="Y30" s="208"/>
      <c r="Z30" s="207"/>
      <c r="AA30" s="447"/>
    </row>
    <row r="31" spans="1:27" s="872" customFormat="1" ht="52.5" thickBot="1" x14ac:dyDescent="0.3">
      <c r="A31" s="339"/>
      <c r="B31" s="116"/>
      <c r="C31" s="95"/>
      <c r="D31" s="567"/>
      <c r="E31" s="567"/>
      <c r="F31" s="95"/>
      <c r="G31" s="146"/>
      <c r="H31" s="448"/>
      <c r="I31" s="815"/>
      <c r="J31" s="89">
        <v>514</v>
      </c>
      <c r="K31" s="396" t="s">
        <v>3360</v>
      </c>
      <c r="L31" s="908">
        <v>1559443.1986</v>
      </c>
      <c r="M31" s="908">
        <v>5348679.9676000001</v>
      </c>
      <c r="N31" s="109" t="s">
        <v>3361</v>
      </c>
      <c r="O31" s="109" t="s">
        <v>5</v>
      </c>
      <c r="P31" s="109">
        <v>1</v>
      </c>
      <c r="Q31" s="109" t="s">
        <v>9071</v>
      </c>
      <c r="R31" s="449" t="s">
        <v>9060</v>
      </c>
      <c r="S31" s="343" t="s">
        <v>16</v>
      </c>
      <c r="T31" s="446" t="s">
        <v>24</v>
      </c>
      <c r="U31" s="208" t="s">
        <v>3362</v>
      </c>
      <c r="V31" s="208" t="s">
        <v>557</v>
      </c>
      <c r="W31" s="208" t="s">
        <v>37</v>
      </c>
      <c r="X31" s="209">
        <v>44144</v>
      </c>
      <c r="Y31" s="208"/>
      <c r="Z31" s="207"/>
      <c r="AA31" s="447"/>
    </row>
    <row r="32" spans="1:27" s="872" customFormat="1" ht="39.75" thickBot="1" x14ac:dyDescent="0.3">
      <c r="A32" s="336"/>
      <c r="B32" s="196"/>
      <c r="C32" s="96"/>
      <c r="D32" s="566"/>
      <c r="E32" s="566"/>
      <c r="F32" s="96"/>
      <c r="G32" s="147"/>
      <c r="H32" s="816"/>
      <c r="I32" s="817"/>
      <c r="J32" s="89">
        <v>654</v>
      </c>
      <c r="K32" s="396" t="s">
        <v>4153</v>
      </c>
      <c r="L32" s="908">
        <v>1504361.2516000001</v>
      </c>
      <c r="M32" s="908">
        <v>5287566.4062000001</v>
      </c>
      <c r="N32" s="109" t="s">
        <v>4154</v>
      </c>
      <c r="O32" s="109" t="s">
        <v>5</v>
      </c>
      <c r="P32" s="109">
        <v>1</v>
      </c>
      <c r="Q32" s="109" t="s">
        <v>9070</v>
      </c>
      <c r="R32" s="449" t="s">
        <v>9060</v>
      </c>
      <c r="S32" s="343" t="s">
        <v>16</v>
      </c>
      <c r="T32" s="446" t="s">
        <v>798</v>
      </c>
      <c r="U32" s="208" t="s">
        <v>4155</v>
      </c>
      <c r="V32" s="208" t="s">
        <v>4139</v>
      </c>
      <c r="W32" s="208" t="s">
        <v>37</v>
      </c>
      <c r="X32" s="209">
        <v>44207</v>
      </c>
      <c r="Y32" s="208"/>
      <c r="Z32" s="207"/>
      <c r="AA32" s="447"/>
    </row>
    <row r="33" spans="1:27" s="871" customFormat="1" ht="27" thickBot="1" x14ac:dyDescent="0.3">
      <c r="A33" s="345" t="s">
        <v>86</v>
      </c>
      <c r="B33" s="331" t="s">
        <v>6799</v>
      </c>
      <c r="C33" s="83">
        <v>596</v>
      </c>
      <c r="D33" s="588" t="s">
        <v>53</v>
      </c>
      <c r="E33" s="588" t="s">
        <v>52</v>
      </c>
      <c r="F33" s="268" t="s">
        <v>155</v>
      </c>
      <c r="G33" s="83" t="s">
        <v>1972</v>
      </c>
      <c r="H33" s="83"/>
      <c r="I33" s="395"/>
      <c r="J33" s="87">
        <v>486</v>
      </c>
      <c r="K33" s="360" t="s">
        <v>9147</v>
      </c>
      <c r="L33" s="198">
        <v>1536212.8074</v>
      </c>
      <c r="M33" s="198">
        <v>5311212.5448000003</v>
      </c>
      <c r="N33" s="199" t="s">
        <v>3252</v>
      </c>
      <c r="O33" s="199" t="s">
        <v>61</v>
      </c>
      <c r="P33" s="199" t="s">
        <v>3253</v>
      </c>
      <c r="Q33" s="199" t="s">
        <v>9074</v>
      </c>
      <c r="R33" s="360" t="s">
        <v>3254</v>
      </c>
      <c r="S33" s="83" t="s">
        <v>16</v>
      </c>
      <c r="T33" s="446" t="s">
        <v>3255</v>
      </c>
      <c r="U33" s="208" t="s">
        <v>3256</v>
      </c>
      <c r="V33" s="208" t="s">
        <v>3247</v>
      </c>
      <c r="W33" s="208" t="s">
        <v>37</v>
      </c>
      <c r="X33" s="209">
        <v>44137</v>
      </c>
      <c r="Y33" s="208"/>
      <c r="Z33" s="364"/>
      <c r="AA33" s="1109"/>
    </row>
    <row r="34" spans="1:27" s="869" customFormat="1" ht="52.5" thickBot="1" x14ac:dyDescent="0.3">
      <c r="A34" s="1041" t="s">
        <v>2272</v>
      </c>
      <c r="B34" s="333" t="s">
        <v>5010</v>
      </c>
      <c r="C34" s="84">
        <v>329</v>
      </c>
      <c r="D34" s="333" t="s">
        <v>52</v>
      </c>
      <c r="E34" s="333" t="s">
        <v>53</v>
      </c>
      <c r="F34" s="84" t="s">
        <v>567</v>
      </c>
      <c r="G34" s="84" t="s">
        <v>1973</v>
      </c>
      <c r="H34" s="591"/>
      <c r="I34" s="124"/>
      <c r="J34" s="84">
        <v>1216</v>
      </c>
      <c r="K34" s="396" t="s">
        <v>7995</v>
      </c>
      <c r="L34" s="265">
        <v>1750157.8370999999</v>
      </c>
      <c r="M34" s="265">
        <v>5428196.1468000002</v>
      </c>
      <c r="N34" s="109" t="s">
        <v>7996</v>
      </c>
      <c r="O34" s="109" t="s">
        <v>194</v>
      </c>
      <c r="P34" s="109">
        <v>1</v>
      </c>
      <c r="Q34" s="697" t="s">
        <v>2146</v>
      </c>
      <c r="R34" s="396" t="s">
        <v>9057</v>
      </c>
      <c r="S34" s="90" t="s">
        <v>85</v>
      </c>
      <c r="T34" s="94" t="s">
        <v>7997</v>
      </c>
      <c r="U34" s="92" t="s">
        <v>7998</v>
      </c>
      <c r="V34" s="92" t="s">
        <v>5004</v>
      </c>
      <c r="W34" s="92" t="s">
        <v>1380</v>
      </c>
      <c r="X34" s="93">
        <v>44181</v>
      </c>
      <c r="Y34" s="92"/>
      <c r="Z34" s="93">
        <v>44186</v>
      </c>
      <c r="AA34" s="1133" t="s">
        <v>37</v>
      </c>
    </row>
    <row r="35" spans="1:27" s="869" customFormat="1" ht="39" x14ac:dyDescent="0.25">
      <c r="A35" s="487" t="s">
        <v>5942</v>
      </c>
      <c r="B35" s="128" t="s">
        <v>5942</v>
      </c>
      <c r="C35" s="72">
        <v>181</v>
      </c>
      <c r="D35" s="586" t="s">
        <v>57</v>
      </c>
      <c r="E35" s="586"/>
      <c r="F35" s="140" t="s">
        <v>4679</v>
      </c>
      <c r="G35" s="140" t="s">
        <v>1238</v>
      </c>
      <c r="H35" s="72"/>
      <c r="I35" s="873"/>
      <c r="J35" s="187">
        <v>5309</v>
      </c>
      <c r="K35" s="65">
        <v>72</v>
      </c>
      <c r="L35" s="914">
        <v>1934723.6576</v>
      </c>
      <c r="M35" s="914">
        <v>5794762.8868000004</v>
      </c>
      <c r="N35" s="866" t="s">
        <v>1236</v>
      </c>
      <c r="O35" s="64" t="s">
        <v>194</v>
      </c>
      <c r="P35" s="64">
        <v>1</v>
      </c>
      <c r="Q35" s="72" t="s">
        <v>2681</v>
      </c>
      <c r="R35" s="73" t="s">
        <v>9055</v>
      </c>
      <c r="S35" s="66" t="s">
        <v>16</v>
      </c>
      <c r="T35" s="854" t="s">
        <v>8412</v>
      </c>
      <c r="U35" s="40" t="s">
        <v>8435</v>
      </c>
      <c r="V35" s="40" t="s">
        <v>6540</v>
      </c>
      <c r="W35" s="40" t="s">
        <v>37</v>
      </c>
      <c r="X35" s="41">
        <v>44390</v>
      </c>
      <c r="Y35" s="40"/>
      <c r="Z35" s="54"/>
      <c r="AA35" s="652"/>
    </row>
    <row r="36" spans="1:27" s="869" customFormat="1" ht="39" x14ac:dyDescent="0.25">
      <c r="A36" s="488"/>
      <c r="B36" s="131"/>
      <c r="C36" s="75"/>
      <c r="D36" s="568"/>
      <c r="E36" s="568"/>
      <c r="F36" s="143"/>
      <c r="G36" s="143"/>
      <c r="H36" s="75"/>
      <c r="I36" s="875"/>
      <c r="J36" s="188">
        <v>5310</v>
      </c>
      <c r="K36" s="695">
        <v>70</v>
      </c>
      <c r="L36" s="915">
        <v>1934563.6088</v>
      </c>
      <c r="M36" s="915">
        <v>5794682.5580000002</v>
      </c>
      <c r="N36" s="560" t="s">
        <v>8413</v>
      </c>
      <c r="O36" s="67" t="s">
        <v>194</v>
      </c>
      <c r="P36" s="67">
        <v>1</v>
      </c>
      <c r="Q36" s="75" t="s">
        <v>8966</v>
      </c>
      <c r="R36" s="76" t="s">
        <v>9055</v>
      </c>
      <c r="S36" s="68" t="s">
        <v>16</v>
      </c>
      <c r="T36" s="855" t="s">
        <v>8392</v>
      </c>
      <c r="U36" s="46" t="s">
        <v>8437</v>
      </c>
      <c r="V36" s="46" t="s">
        <v>6540</v>
      </c>
      <c r="W36" s="46" t="s">
        <v>37</v>
      </c>
      <c r="X36" s="47">
        <v>44390</v>
      </c>
      <c r="Y36" s="46"/>
      <c r="Z36" s="365"/>
      <c r="AA36" s="1107"/>
    </row>
    <row r="37" spans="1:27" s="869" customFormat="1" ht="39" x14ac:dyDescent="0.25">
      <c r="A37" s="488"/>
      <c r="B37" s="131"/>
      <c r="C37" s="75"/>
      <c r="D37" s="568"/>
      <c r="E37" s="568"/>
      <c r="F37" s="143"/>
      <c r="G37" s="143"/>
      <c r="H37" s="75"/>
      <c r="I37" s="875"/>
      <c r="J37" s="188">
        <v>5311</v>
      </c>
      <c r="K37" s="695">
        <v>46</v>
      </c>
      <c r="L37" s="915">
        <v>1934473.5737999999</v>
      </c>
      <c r="M37" s="915">
        <v>5794642.3786000004</v>
      </c>
      <c r="N37" s="560" t="s">
        <v>8433</v>
      </c>
      <c r="O37" s="67" t="s">
        <v>194</v>
      </c>
      <c r="P37" s="67">
        <v>1</v>
      </c>
      <c r="Q37" s="75" t="s">
        <v>9054</v>
      </c>
      <c r="R37" s="76" t="s">
        <v>9055</v>
      </c>
      <c r="S37" s="68" t="s">
        <v>10</v>
      </c>
      <c r="T37" s="855" t="s">
        <v>8392</v>
      </c>
      <c r="U37" s="46" t="s">
        <v>8438</v>
      </c>
      <c r="V37" s="46" t="s">
        <v>6540</v>
      </c>
      <c r="W37" s="46" t="s">
        <v>37</v>
      </c>
      <c r="X37" s="47">
        <v>44390</v>
      </c>
      <c r="Y37" s="46"/>
      <c r="Z37" s="365"/>
      <c r="AA37" s="1107"/>
    </row>
    <row r="38" spans="1:27" s="869" customFormat="1" ht="39.75" thickBot="1" x14ac:dyDescent="0.3">
      <c r="A38" s="489"/>
      <c r="B38" s="133"/>
      <c r="C38" s="78"/>
      <c r="D38" s="569"/>
      <c r="E38" s="569"/>
      <c r="F38" s="144"/>
      <c r="G38" s="144"/>
      <c r="H38" s="78"/>
      <c r="I38" s="876"/>
      <c r="J38" s="192">
        <v>5312</v>
      </c>
      <c r="K38" s="70">
        <v>49</v>
      </c>
      <c r="L38" s="916">
        <v>1934223.6122000001</v>
      </c>
      <c r="M38" s="916">
        <v>5794441.7851</v>
      </c>
      <c r="N38" s="867" t="s">
        <v>8414</v>
      </c>
      <c r="O38" s="69" t="s">
        <v>194</v>
      </c>
      <c r="P38" s="69">
        <v>1</v>
      </c>
      <c r="Q38" s="78" t="s">
        <v>4594</v>
      </c>
      <c r="R38" s="79" t="s">
        <v>9055</v>
      </c>
      <c r="S38" s="71" t="s">
        <v>16</v>
      </c>
      <c r="T38" s="828" t="s">
        <v>8415</v>
      </c>
      <c r="U38" s="52" t="s">
        <v>8435</v>
      </c>
      <c r="V38" s="52" t="s">
        <v>6540</v>
      </c>
      <c r="W38" s="52" t="s">
        <v>37</v>
      </c>
      <c r="X38" s="53">
        <v>44390</v>
      </c>
      <c r="Y38" s="52"/>
      <c r="Z38" s="367"/>
      <c r="AA38" s="653"/>
    </row>
    <row r="39" spans="1:27" s="871" customFormat="1" ht="39.75" thickBot="1" x14ac:dyDescent="0.3">
      <c r="A39" s="1045" t="s">
        <v>8570</v>
      </c>
      <c r="B39" s="700" t="s">
        <v>8570</v>
      </c>
      <c r="C39" s="217">
        <v>371</v>
      </c>
      <c r="D39" s="596" t="s">
        <v>52</v>
      </c>
      <c r="E39" s="596"/>
      <c r="F39" s="244" t="s">
        <v>906</v>
      </c>
      <c r="G39" s="26" t="s">
        <v>1263</v>
      </c>
      <c r="H39" s="26"/>
      <c r="I39" s="29"/>
      <c r="J39" s="490">
        <v>986</v>
      </c>
      <c r="K39" s="58" t="s">
        <v>8561</v>
      </c>
      <c r="L39" s="932">
        <v>1922604.486</v>
      </c>
      <c r="M39" s="932">
        <v>5599558.3995000003</v>
      </c>
      <c r="N39" s="491">
        <v>4.5999999999999996</v>
      </c>
      <c r="O39" s="491" t="s">
        <v>194</v>
      </c>
      <c r="P39" s="491">
        <v>1</v>
      </c>
      <c r="Q39" s="491" t="s">
        <v>9149</v>
      </c>
      <c r="R39" s="58" t="s">
        <v>9056</v>
      </c>
      <c r="S39" s="59" t="s">
        <v>16</v>
      </c>
      <c r="T39" s="446" t="s">
        <v>8560</v>
      </c>
      <c r="U39" s="208" t="s">
        <v>8557</v>
      </c>
      <c r="V39" s="208" t="s">
        <v>8558</v>
      </c>
      <c r="W39" s="208" t="s">
        <v>37</v>
      </c>
      <c r="X39" s="209">
        <v>44392</v>
      </c>
      <c r="Y39" s="208"/>
      <c r="Z39" s="364"/>
      <c r="AA39" s="1109"/>
    </row>
    <row r="40" spans="1:27" s="871" customFormat="1" ht="39.75" thickBot="1" x14ac:dyDescent="0.3">
      <c r="A40" s="1046"/>
      <c r="B40" s="702"/>
      <c r="C40" s="213"/>
      <c r="D40" s="578"/>
      <c r="E40" s="578"/>
      <c r="F40" s="245"/>
      <c r="G40" s="27"/>
      <c r="H40" s="27"/>
      <c r="I40" s="639"/>
      <c r="J40" s="501">
        <v>987</v>
      </c>
      <c r="K40" s="60" t="s">
        <v>8565</v>
      </c>
      <c r="L40" s="933">
        <v>1922510.7412</v>
      </c>
      <c r="M40" s="933">
        <v>5599385.0717000002</v>
      </c>
      <c r="N40" s="502" t="s">
        <v>8562</v>
      </c>
      <c r="O40" s="502" t="s">
        <v>194</v>
      </c>
      <c r="P40" s="502">
        <v>1</v>
      </c>
      <c r="Q40" s="502" t="s">
        <v>9148</v>
      </c>
      <c r="R40" s="60" t="s">
        <v>9055</v>
      </c>
      <c r="S40" s="61" t="s">
        <v>16</v>
      </c>
      <c r="T40" s="446" t="s">
        <v>8187</v>
      </c>
      <c r="U40" s="208" t="s">
        <v>8557</v>
      </c>
      <c r="V40" s="208" t="s">
        <v>8563</v>
      </c>
      <c r="W40" s="208" t="s">
        <v>37</v>
      </c>
      <c r="X40" s="209">
        <v>44392</v>
      </c>
      <c r="Y40" s="208"/>
      <c r="Z40" s="364"/>
      <c r="AA40" s="1109"/>
    </row>
    <row r="41" spans="1:27" s="871" customFormat="1" ht="39.75" thickBot="1" x14ac:dyDescent="0.3">
      <c r="A41" s="1048"/>
      <c r="B41" s="1049"/>
      <c r="C41" s="220"/>
      <c r="D41" s="579"/>
      <c r="E41" s="579"/>
      <c r="F41" s="246"/>
      <c r="G41" s="28"/>
      <c r="H41" s="28"/>
      <c r="I41" s="608"/>
      <c r="J41" s="503">
        <v>988</v>
      </c>
      <c r="K41" s="62" t="s">
        <v>8564</v>
      </c>
      <c r="L41" s="923">
        <v>1920953.1753</v>
      </c>
      <c r="M41" s="923">
        <v>5603225.4998000003</v>
      </c>
      <c r="N41" s="504">
        <v>0.2</v>
      </c>
      <c r="O41" s="504" t="s">
        <v>2086</v>
      </c>
      <c r="P41" s="504">
        <v>1</v>
      </c>
      <c r="Q41" s="504" t="s">
        <v>9052</v>
      </c>
      <c r="R41" s="62" t="s">
        <v>9053</v>
      </c>
      <c r="S41" s="63" t="s">
        <v>16</v>
      </c>
      <c r="T41" s="446" t="s">
        <v>4131</v>
      </c>
      <c r="U41" s="208" t="s">
        <v>8557</v>
      </c>
      <c r="V41" s="208" t="s">
        <v>8563</v>
      </c>
      <c r="W41" s="208" t="s">
        <v>37</v>
      </c>
      <c r="X41" s="209">
        <v>44392</v>
      </c>
      <c r="Y41" s="208"/>
      <c r="Z41" s="364"/>
      <c r="AA41" s="1109"/>
    </row>
    <row r="42" spans="1:27" s="871" customFormat="1" ht="26.25" x14ac:dyDescent="0.25">
      <c r="A42" s="341" t="s">
        <v>1441</v>
      </c>
      <c r="B42" s="181" t="s">
        <v>6800</v>
      </c>
      <c r="C42" s="125">
        <v>540</v>
      </c>
      <c r="D42" s="181" t="s">
        <v>53</v>
      </c>
      <c r="E42" s="181" t="s">
        <v>52</v>
      </c>
      <c r="F42" s="126" t="s">
        <v>1440</v>
      </c>
      <c r="G42" s="126" t="s">
        <v>1972</v>
      </c>
      <c r="H42" s="125"/>
      <c r="I42" s="247"/>
      <c r="J42" s="191">
        <v>540</v>
      </c>
      <c r="K42" s="359" t="s">
        <v>3720</v>
      </c>
      <c r="L42" s="913">
        <v>1684584.4812</v>
      </c>
      <c r="M42" s="913">
        <v>5389702.4426999995</v>
      </c>
      <c r="N42" s="108" t="s">
        <v>1418</v>
      </c>
      <c r="O42" s="108" t="s">
        <v>5</v>
      </c>
      <c r="P42" s="108">
        <v>2</v>
      </c>
      <c r="Q42" s="108" t="s">
        <v>5294</v>
      </c>
      <c r="R42" s="359" t="s">
        <v>3260</v>
      </c>
      <c r="S42" s="98" t="s">
        <v>16</v>
      </c>
      <c r="T42" s="847" t="s">
        <v>3740</v>
      </c>
      <c r="U42" s="137" t="s">
        <v>10151</v>
      </c>
      <c r="V42" s="137" t="s">
        <v>7889</v>
      </c>
      <c r="W42" s="137" t="s">
        <v>37</v>
      </c>
      <c r="X42" s="139">
        <v>44491</v>
      </c>
      <c r="Y42" s="152"/>
      <c r="Z42" s="361"/>
      <c r="AA42" s="1112"/>
    </row>
    <row r="43" spans="1:27" s="871" customFormat="1" ht="26.25" x14ac:dyDescent="0.25">
      <c r="A43" s="1042"/>
      <c r="B43" s="346"/>
      <c r="C43" s="258"/>
      <c r="D43" s="778"/>
      <c r="E43" s="778"/>
      <c r="F43" s="146"/>
      <c r="G43" s="95"/>
      <c r="H43" s="95"/>
      <c r="I43" s="122"/>
      <c r="J43" s="191">
        <v>541</v>
      </c>
      <c r="K43" s="359" t="s">
        <v>3721</v>
      </c>
      <c r="L43" s="913">
        <v>1684284.5277</v>
      </c>
      <c r="M43" s="913">
        <v>5389502.5300000003</v>
      </c>
      <c r="N43" s="108" t="s">
        <v>1418</v>
      </c>
      <c r="O43" s="108" t="s">
        <v>5</v>
      </c>
      <c r="P43" s="108">
        <v>1</v>
      </c>
      <c r="Q43" s="108" t="s">
        <v>5294</v>
      </c>
      <c r="R43" s="359" t="s">
        <v>3260</v>
      </c>
      <c r="S43" s="98" t="s">
        <v>16</v>
      </c>
      <c r="T43" s="847" t="s">
        <v>3741</v>
      </c>
      <c r="U43" s="137" t="s">
        <v>10145</v>
      </c>
      <c r="V43" s="137" t="s">
        <v>7889</v>
      </c>
      <c r="W43" s="137" t="s">
        <v>37</v>
      </c>
      <c r="X43" s="139">
        <v>44491</v>
      </c>
      <c r="Y43" s="137"/>
      <c r="Z43" s="358"/>
      <c r="AA43" s="1110"/>
    </row>
    <row r="44" spans="1:27" s="871" customFormat="1" ht="26.25" x14ac:dyDescent="0.25">
      <c r="A44" s="1042"/>
      <c r="B44" s="346"/>
      <c r="C44" s="258"/>
      <c r="D44" s="778"/>
      <c r="E44" s="778"/>
      <c r="F44" s="146"/>
      <c r="G44" s="95"/>
      <c r="H44" s="95"/>
      <c r="I44" s="122"/>
      <c r="J44" s="191">
        <v>542</v>
      </c>
      <c r="K44" s="359" t="s">
        <v>3722</v>
      </c>
      <c r="L44" s="913">
        <v>1683984.5330000001</v>
      </c>
      <c r="M44" s="913">
        <v>5389002.6879000003</v>
      </c>
      <c r="N44" s="108" t="s">
        <v>3732</v>
      </c>
      <c r="O44" s="108" t="s">
        <v>5</v>
      </c>
      <c r="P44" s="108">
        <v>1</v>
      </c>
      <c r="Q44" s="108" t="s">
        <v>9051</v>
      </c>
      <c r="R44" s="359" t="s">
        <v>3260</v>
      </c>
      <c r="S44" s="98" t="s">
        <v>16</v>
      </c>
      <c r="T44" s="847" t="s">
        <v>3742</v>
      </c>
      <c r="U44" s="137" t="s">
        <v>10151</v>
      </c>
      <c r="V44" s="137" t="s">
        <v>7889</v>
      </c>
      <c r="W44" s="137" t="s">
        <v>37</v>
      </c>
      <c r="X44" s="139">
        <v>44491</v>
      </c>
      <c r="Y44" s="137"/>
      <c r="Z44" s="358"/>
      <c r="AA44" s="1110"/>
    </row>
    <row r="45" spans="1:27" s="871" customFormat="1" ht="26.25" x14ac:dyDescent="0.25">
      <c r="A45" s="1042"/>
      <c r="B45" s="346"/>
      <c r="C45" s="258"/>
      <c r="D45" s="778"/>
      <c r="E45" s="778"/>
      <c r="F45" s="146"/>
      <c r="G45" s="95"/>
      <c r="H45" s="95"/>
      <c r="I45" s="122"/>
      <c r="J45" s="191">
        <v>543</v>
      </c>
      <c r="K45" s="359" t="s">
        <v>3723</v>
      </c>
      <c r="L45" s="913">
        <v>1683184.6348000001</v>
      </c>
      <c r="M45" s="913">
        <v>5388302.9617999997</v>
      </c>
      <c r="N45" s="108" t="s">
        <v>1319</v>
      </c>
      <c r="O45" s="108" t="s">
        <v>5</v>
      </c>
      <c r="P45" s="108">
        <v>2</v>
      </c>
      <c r="Q45" s="108" t="s">
        <v>6346</v>
      </c>
      <c r="R45" s="359" t="s">
        <v>3260</v>
      </c>
      <c r="S45" s="98" t="s">
        <v>16</v>
      </c>
      <c r="T45" s="847" t="s">
        <v>3743</v>
      </c>
      <c r="U45" s="137" t="s">
        <v>10152</v>
      </c>
      <c r="V45" s="137" t="s">
        <v>7889</v>
      </c>
      <c r="W45" s="137" t="s">
        <v>37</v>
      </c>
      <c r="X45" s="139">
        <v>44491</v>
      </c>
      <c r="Y45" s="137"/>
      <c r="Z45" s="358"/>
      <c r="AA45" s="1110"/>
    </row>
    <row r="46" spans="1:27" s="871" customFormat="1" ht="26.25" x14ac:dyDescent="0.25">
      <c r="A46" s="1042"/>
      <c r="B46" s="346"/>
      <c r="C46" s="258"/>
      <c r="D46" s="778"/>
      <c r="E46" s="778"/>
      <c r="F46" s="146"/>
      <c r="G46" s="95"/>
      <c r="H46" s="95"/>
      <c r="I46" s="122"/>
      <c r="J46" s="191">
        <v>544</v>
      </c>
      <c r="K46" s="359" t="s">
        <v>1427</v>
      </c>
      <c r="L46" s="913">
        <v>1682184.8144</v>
      </c>
      <c r="M46" s="913">
        <v>5387803.2182999998</v>
      </c>
      <c r="N46" s="108" t="s">
        <v>3732</v>
      </c>
      <c r="O46" s="108" t="s">
        <v>5</v>
      </c>
      <c r="P46" s="108">
        <v>3</v>
      </c>
      <c r="Q46" s="108" t="s">
        <v>9051</v>
      </c>
      <c r="R46" s="359" t="s">
        <v>3260</v>
      </c>
      <c r="S46" s="98" t="s">
        <v>16</v>
      </c>
      <c r="T46" s="847" t="s">
        <v>3744</v>
      </c>
      <c r="U46" s="137" t="s">
        <v>10151</v>
      </c>
      <c r="V46" s="137" t="s">
        <v>7889</v>
      </c>
      <c r="W46" s="137" t="s">
        <v>37</v>
      </c>
      <c r="X46" s="139">
        <v>44491</v>
      </c>
      <c r="Y46" s="137"/>
      <c r="Z46" s="358"/>
      <c r="AA46" s="1110"/>
    </row>
    <row r="47" spans="1:27" s="871" customFormat="1" ht="39" x14ac:dyDescent="0.25">
      <c r="A47" s="1042"/>
      <c r="B47" s="346"/>
      <c r="C47" s="258"/>
      <c r="D47" s="778"/>
      <c r="E47" s="778"/>
      <c r="F47" s="146"/>
      <c r="G47" s="95"/>
      <c r="H47" s="95"/>
      <c r="I47" s="122"/>
      <c r="J47" s="191">
        <v>545</v>
      </c>
      <c r="K47" s="359" t="s">
        <v>3724</v>
      </c>
      <c r="L47" s="913">
        <v>1680185.1369</v>
      </c>
      <c r="M47" s="913">
        <v>5386503.8065999998</v>
      </c>
      <c r="N47" s="108" t="s">
        <v>1319</v>
      </c>
      <c r="O47" s="108" t="s">
        <v>5</v>
      </c>
      <c r="P47" s="108">
        <v>2</v>
      </c>
      <c r="Q47" s="108" t="s">
        <v>6346</v>
      </c>
      <c r="R47" s="359" t="s">
        <v>3260</v>
      </c>
      <c r="S47" s="98" t="s">
        <v>16</v>
      </c>
      <c r="T47" s="847" t="s">
        <v>402</v>
      </c>
      <c r="U47" s="137" t="s">
        <v>10149</v>
      </c>
      <c r="V47" s="137" t="s">
        <v>7889</v>
      </c>
      <c r="W47" s="137" t="s">
        <v>37</v>
      </c>
      <c r="X47" s="139">
        <v>44491</v>
      </c>
      <c r="Y47" s="137"/>
      <c r="Z47" s="358"/>
      <c r="AA47" s="1110"/>
    </row>
    <row r="48" spans="1:27" s="871" customFormat="1" ht="26.25" x14ac:dyDescent="0.25">
      <c r="A48" s="1042"/>
      <c r="B48" s="346"/>
      <c r="C48" s="258"/>
      <c r="D48" s="778"/>
      <c r="E48" s="778"/>
      <c r="F48" s="146"/>
      <c r="G48" s="95"/>
      <c r="H48" s="95"/>
      <c r="I48" s="122"/>
      <c r="J48" s="191">
        <v>546</v>
      </c>
      <c r="K48" s="359" t="s">
        <v>3736</v>
      </c>
      <c r="L48" s="913">
        <v>1678785.3537999999</v>
      </c>
      <c r="M48" s="913">
        <v>5385504.2438000003</v>
      </c>
      <c r="N48" s="108" t="s">
        <v>3733</v>
      </c>
      <c r="O48" s="108" t="s">
        <v>5</v>
      </c>
      <c r="P48" s="108">
        <v>1</v>
      </c>
      <c r="Q48" s="108" t="s">
        <v>9050</v>
      </c>
      <c r="R48" s="359" t="s">
        <v>3260</v>
      </c>
      <c r="S48" s="98" t="s">
        <v>16</v>
      </c>
      <c r="T48" s="847" t="s">
        <v>401</v>
      </c>
      <c r="U48" s="137" t="s">
        <v>10148</v>
      </c>
      <c r="V48" s="137" t="s">
        <v>7889</v>
      </c>
      <c r="W48" s="137" t="s">
        <v>37</v>
      </c>
      <c r="X48" s="139">
        <v>44491</v>
      </c>
      <c r="Y48" s="137"/>
      <c r="Z48" s="358"/>
      <c r="AA48" s="1110"/>
    </row>
    <row r="49" spans="1:27" s="871" customFormat="1" ht="26.25" x14ac:dyDescent="0.25">
      <c r="A49" s="1042"/>
      <c r="B49" s="346"/>
      <c r="C49" s="258"/>
      <c r="D49" s="778"/>
      <c r="E49" s="778"/>
      <c r="F49" s="146"/>
      <c r="G49" s="95"/>
      <c r="H49" s="95"/>
      <c r="I49" s="122"/>
      <c r="J49" s="191">
        <v>547</v>
      </c>
      <c r="K49" s="359" t="s">
        <v>3725</v>
      </c>
      <c r="L49" s="913">
        <v>1677685.4961999999</v>
      </c>
      <c r="M49" s="913">
        <v>5384504.6425000001</v>
      </c>
      <c r="N49" s="108" t="s">
        <v>3734</v>
      </c>
      <c r="O49" s="108" t="s">
        <v>5</v>
      </c>
      <c r="P49" s="108">
        <v>7</v>
      </c>
      <c r="Q49" s="108" t="s">
        <v>9049</v>
      </c>
      <c r="R49" s="359" t="s">
        <v>3260</v>
      </c>
      <c r="S49" s="98" t="s">
        <v>10</v>
      </c>
      <c r="T49" s="847" t="s">
        <v>3745</v>
      </c>
      <c r="U49" s="137" t="s">
        <v>10151</v>
      </c>
      <c r="V49" s="137" t="s">
        <v>7889</v>
      </c>
      <c r="W49" s="137" t="s">
        <v>37</v>
      </c>
      <c r="X49" s="139">
        <v>44491</v>
      </c>
      <c r="Y49" s="137"/>
      <c r="Z49" s="358"/>
      <c r="AA49" s="1110"/>
    </row>
    <row r="50" spans="1:27" s="871" customFormat="1" ht="26.25" x14ac:dyDescent="0.25">
      <c r="A50" s="1042"/>
      <c r="B50" s="346"/>
      <c r="C50" s="258"/>
      <c r="D50" s="778"/>
      <c r="E50" s="778"/>
      <c r="F50" s="146"/>
      <c r="G50" s="95"/>
      <c r="H50" s="95"/>
      <c r="I50" s="122"/>
      <c r="J50" s="191">
        <v>548</v>
      </c>
      <c r="K50" s="359" t="s">
        <v>3726</v>
      </c>
      <c r="L50" s="913">
        <v>1677185.5549999999</v>
      </c>
      <c r="M50" s="913">
        <v>5384004.8361</v>
      </c>
      <c r="N50" s="108" t="s">
        <v>3728</v>
      </c>
      <c r="O50" s="108" t="s">
        <v>5</v>
      </c>
      <c r="P50" s="108">
        <v>1</v>
      </c>
      <c r="Q50" s="108" t="s">
        <v>5768</v>
      </c>
      <c r="R50" s="359" t="s">
        <v>3260</v>
      </c>
      <c r="S50" s="98" t="s">
        <v>16</v>
      </c>
      <c r="T50" s="847" t="s">
        <v>3746</v>
      </c>
      <c r="U50" s="137" t="s">
        <v>10151</v>
      </c>
      <c r="V50" s="137" t="s">
        <v>7889</v>
      </c>
      <c r="W50" s="137" t="s">
        <v>37</v>
      </c>
      <c r="X50" s="139">
        <v>44491</v>
      </c>
      <c r="Y50" s="137"/>
      <c r="Z50" s="358"/>
      <c r="AA50" s="1110"/>
    </row>
    <row r="51" spans="1:27" s="871" customFormat="1" ht="27" thickBot="1" x14ac:dyDescent="0.3">
      <c r="A51" s="1042"/>
      <c r="B51" s="346"/>
      <c r="C51" s="258"/>
      <c r="D51" s="778"/>
      <c r="E51" s="778"/>
      <c r="F51" s="146"/>
      <c r="G51" s="95"/>
      <c r="H51" s="95"/>
      <c r="I51" s="122"/>
      <c r="J51" s="190">
        <v>549</v>
      </c>
      <c r="K51" s="357" t="s">
        <v>3727</v>
      </c>
      <c r="L51" s="912">
        <v>1676385.6780000001</v>
      </c>
      <c r="M51" s="912">
        <v>5383405.0970999999</v>
      </c>
      <c r="N51" s="107" t="s">
        <v>3735</v>
      </c>
      <c r="O51" s="107" t="s">
        <v>5</v>
      </c>
      <c r="P51" s="107">
        <v>1</v>
      </c>
      <c r="Q51" s="107" t="s">
        <v>5570</v>
      </c>
      <c r="R51" s="357" t="s">
        <v>3260</v>
      </c>
      <c r="S51" s="100" t="s">
        <v>16</v>
      </c>
      <c r="T51" s="848" t="s">
        <v>3747</v>
      </c>
      <c r="U51" s="155" t="s">
        <v>10151</v>
      </c>
      <c r="V51" s="155" t="s">
        <v>7889</v>
      </c>
      <c r="W51" s="155" t="s">
        <v>37</v>
      </c>
      <c r="X51" s="172">
        <v>44491</v>
      </c>
      <c r="Y51" s="155"/>
      <c r="Z51" s="362"/>
      <c r="AA51" s="1111"/>
    </row>
    <row r="52" spans="1:27" s="871" customFormat="1" ht="27" thickBot="1" x14ac:dyDescent="0.3">
      <c r="A52" s="1042"/>
      <c r="B52" s="346"/>
      <c r="C52" s="258"/>
      <c r="D52" s="778"/>
      <c r="E52" s="778"/>
      <c r="F52" s="146"/>
      <c r="G52" s="95"/>
      <c r="H52" s="95"/>
      <c r="I52" s="122"/>
      <c r="J52" s="89"/>
      <c r="K52" s="396" t="s">
        <v>3748</v>
      </c>
      <c r="L52" s="265"/>
      <c r="M52" s="265"/>
      <c r="N52" s="109">
        <v>4.9000000000000004</v>
      </c>
      <c r="O52" s="109" t="s">
        <v>5</v>
      </c>
      <c r="P52" s="109"/>
      <c r="Q52" s="109">
        <v>4.9000000000000004</v>
      </c>
      <c r="R52" s="396"/>
      <c r="S52" s="90" t="s">
        <v>16</v>
      </c>
      <c r="T52" s="207"/>
      <c r="U52" s="208" t="s">
        <v>10151</v>
      </c>
      <c r="V52" s="208" t="s">
        <v>7889</v>
      </c>
      <c r="W52" s="208" t="s">
        <v>37</v>
      </c>
      <c r="X52" s="209">
        <v>44491</v>
      </c>
      <c r="Y52" s="208"/>
      <c r="Z52" s="364"/>
      <c r="AA52" s="1109"/>
    </row>
    <row r="53" spans="1:27" s="871" customFormat="1" ht="51.75" x14ac:dyDescent="0.25">
      <c r="A53" s="1042"/>
      <c r="B53" s="346"/>
      <c r="C53" s="258"/>
      <c r="D53" s="778"/>
      <c r="E53" s="778"/>
      <c r="F53" s="146"/>
      <c r="G53" s="95"/>
      <c r="H53" s="95"/>
      <c r="I53" s="122"/>
      <c r="J53" s="191">
        <v>572</v>
      </c>
      <c r="K53" s="359" t="s">
        <v>3822</v>
      </c>
      <c r="L53" s="913">
        <v>1619765.6631</v>
      </c>
      <c r="M53" s="913">
        <v>5340579.0925000003</v>
      </c>
      <c r="N53" s="108" t="s">
        <v>3854</v>
      </c>
      <c r="O53" s="108" t="s">
        <v>5</v>
      </c>
      <c r="P53" s="108">
        <v>1</v>
      </c>
      <c r="Q53" s="108" t="s">
        <v>9048</v>
      </c>
      <c r="R53" s="359" t="s">
        <v>3260</v>
      </c>
      <c r="S53" s="98" t="s">
        <v>16</v>
      </c>
      <c r="T53" s="847" t="s">
        <v>3867</v>
      </c>
      <c r="U53" s="137" t="s">
        <v>10139</v>
      </c>
      <c r="V53" s="137" t="s">
        <v>9215</v>
      </c>
      <c r="W53" s="137" t="s">
        <v>37</v>
      </c>
      <c r="X53" s="139">
        <v>44491</v>
      </c>
      <c r="Y53" s="137"/>
      <c r="Z53" s="358"/>
      <c r="AA53" s="1110"/>
    </row>
    <row r="54" spans="1:27" s="871" customFormat="1" ht="64.5" x14ac:dyDescent="0.25">
      <c r="A54" s="1042"/>
      <c r="B54" s="346"/>
      <c r="C54" s="258"/>
      <c r="D54" s="778"/>
      <c r="E54" s="778"/>
      <c r="F54" s="146"/>
      <c r="G54" s="95"/>
      <c r="H54" s="95"/>
      <c r="I54" s="122"/>
      <c r="J54" s="191">
        <v>573</v>
      </c>
      <c r="K54" s="359" t="s">
        <v>3823</v>
      </c>
      <c r="L54" s="913">
        <v>1620746.4685</v>
      </c>
      <c r="M54" s="913">
        <v>5341551.6283</v>
      </c>
      <c r="N54" s="108" t="s">
        <v>3855</v>
      </c>
      <c r="O54" s="108" t="s">
        <v>5</v>
      </c>
      <c r="P54" s="108">
        <v>1</v>
      </c>
      <c r="Q54" s="108" t="s">
        <v>9047</v>
      </c>
      <c r="R54" s="359" t="s">
        <v>3260</v>
      </c>
      <c r="S54" s="98" t="s">
        <v>10</v>
      </c>
      <c r="T54" s="847" t="s">
        <v>3867</v>
      </c>
      <c r="U54" s="137" t="s">
        <v>10140</v>
      </c>
      <c r="V54" s="137" t="s">
        <v>9215</v>
      </c>
      <c r="W54" s="137" t="s">
        <v>37</v>
      </c>
      <c r="X54" s="139">
        <v>44491</v>
      </c>
      <c r="Y54" s="137"/>
      <c r="Z54" s="358"/>
      <c r="AA54" s="1110"/>
    </row>
    <row r="55" spans="1:27" s="871" customFormat="1" ht="64.5" x14ac:dyDescent="0.25">
      <c r="A55" s="1042"/>
      <c r="B55" s="346"/>
      <c r="C55" s="258"/>
      <c r="D55" s="778"/>
      <c r="E55" s="778"/>
      <c r="F55" s="146"/>
      <c r="G55" s="95"/>
      <c r="H55" s="95"/>
      <c r="I55" s="122"/>
      <c r="J55" s="191">
        <v>574</v>
      </c>
      <c r="K55" s="359" t="s">
        <v>3824</v>
      </c>
      <c r="L55" s="913">
        <v>1620766.4635999999</v>
      </c>
      <c r="M55" s="913">
        <v>5341565.6207999997</v>
      </c>
      <c r="N55" s="108" t="s">
        <v>3856</v>
      </c>
      <c r="O55" s="108" t="s">
        <v>5</v>
      </c>
      <c r="P55" s="108">
        <v>1</v>
      </c>
      <c r="Q55" s="108" t="s">
        <v>9046</v>
      </c>
      <c r="R55" s="359" t="s">
        <v>3260</v>
      </c>
      <c r="S55" s="98" t="s">
        <v>10</v>
      </c>
      <c r="T55" s="847" t="s">
        <v>3867</v>
      </c>
      <c r="U55" s="137" t="s">
        <v>10140</v>
      </c>
      <c r="V55" s="137" t="s">
        <v>9215</v>
      </c>
      <c r="W55" s="137" t="s">
        <v>37</v>
      </c>
      <c r="X55" s="139">
        <v>44491</v>
      </c>
      <c r="Y55" s="137"/>
      <c r="Z55" s="358"/>
      <c r="AA55" s="1110"/>
    </row>
    <row r="56" spans="1:27" s="871" customFormat="1" ht="90" x14ac:dyDescent="0.25">
      <c r="A56" s="1042"/>
      <c r="B56" s="346"/>
      <c r="C56" s="258"/>
      <c r="D56" s="778"/>
      <c r="E56" s="778"/>
      <c r="F56" s="146"/>
      <c r="G56" s="95"/>
      <c r="H56" s="95"/>
      <c r="I56" s="122"/>
      <c r="J56" s="191">
        <v>575</v>
      </c>
      <c r="K56" s="359" t="s">
        <v>3825</v>
      </c>
      <c r="L56" s="913">
        <v>1620791.4583999999</v>
      </c>
      <c r="M56" s="913">
        <v>5341588.6096000001</v>
      </c>
      <c r="N56" s="108" t="s">
        <v>4004</v>
      </c>
      <c r="O56" s="108" t="s">
        <v>5</v>
      </c>
      <c r="P56" s="108">
        <v>1</v>
      </c>
      <c r="Q56" s="108" t="s">
        <v>9045</v>
      </c>
      <c r="R56" s="359" t="s">
        <v>3260</v>
      </c>
      <c r="S56" s="98" t="s">
        <v>10</v>
      </c>
      <c r="T56" s="847" t="s">
        <v>3868</v>
      </c>
      <c r="U56" s="137" t="s">
        <v>10142</v>
      </c>
      <c r="V56" s="137" t="s">
        <v>9215</v>
      </c>
      <c r="W56" s="137" t="s">
        <v>37</v>
      </c>
      <c r="X56" s="139">
        <v>44491</v>
      </c>
      <c r="Y56" s="137"/>
      <c r="Z56" s="358"/>
      <c r="AA56" s="1110"/>
    </row>
    <row r="57" spans="1:27" s="871" customFormat="1" ht="64.5" x14ac:dyDescent="0.25">
      <c r="A57" s="1042"/>
      <c r="B57" s="346"/>
      <c r="C57" s="258"/>
      <c r="D57" s="778"/>
      <c r="E57" s="778"/>
      <c r="F57" s="146"/>
      <c r="G57" s="95"/>
      <c r="H57" s="95"/>
      <c r="I57" s="122"/>
      <c r="J57" s="191">
        <v>576</v>
      </c>
      <c r="K57" s="359" t="s">
        <v>3826</v>
      </c>
      <c r="L57" s="913">
        <v>1620799.4563</v>
      </c>
      <c r="M57" s="913">
        <v>5341592.6070999997</v>
      </c>
      <c r="N57" s="108" t="s">
        <v>3857</v>
      </c>
      <c r="O57" s="108" t="s">
        <v>5</v>
      </c>
      <c r="P57" s="108">
        <v>1</v>
      </c>
      <c r="Q57" s="108" t="s">
        <v>9044</v>
      </c>
      <c r="R57" s="359" t="s">
        <v>3260</v>
      </c>
      <c r="S57" s="98" t="s">
        <v>10</v>
      </c>
      <c r="T57" s="847" t="s">
        <v>3868</v>
      </c>
      <c r="U57" s="137" t="s">
        <v>10141</v>
      </c>
      <c r="V57" s="137" t="s">
        <v>9215</v>
      </c>
      <c r="W57" s="137" t="s">
        <v>37</v>
      </c>
      <c r="X57" s="139">
        <v>44491</v>
      </c>
      <c r="Y57" s="137"/>
      <c r="Z57" s="358"/>
      <c r="AA57" s="1110"/>
    </row>
    <row r="58" spans="1:27" s="871" customFormat="1" ht="90" x14ac:dyDescent="0.25">
      <c r="A58" s="1042"/>
      <c r="B58" s="346"/>
      <c r="C58" s="258"/>
      <c r="D58" s="778"/>
      <c r="E58" s="778"/>
      <c r="F58" s="146"/>
      <c r="G58" s="95"/>
      <c r="H58" s="95"/>
      <c r="I58" s="122"/>
      <c r="J58" s="191">
        <v>577</v>
      </c>
      <c r="K58" s="359" t="s">
        <v>3827</v>
      </c>
      <c r="L58" s="913">
        <v>1620895.4399000001</v>
      </c>
      <c r="M58" s="913">
        <v>5341705.5558000002</v>
      </c>
      <c r="N58" s="108" t="s">
        <v>4005</v>
      </c>
      <c r="O58" s="108" t="s">
        <v>5</v>
      </c>
      <c r="P58" s="108">
        <v>1</v>
      </c>
      <c r="Q58" s="108" t="s">
        <v>9043</v>
      </c>
      <c r="R58" s="359" t="s">
        <v>3260</v>
      </c>
      <c r="S58" s="98" t="s">
        <v>10</v>
      </c>
      <c r="T58" s="847" t="s">
        <v>3868</v>
      </c>
      <c r="U58" s="137" t="s">
        <v>10143</v>
      </c>
      <c r="V58" s="137" t="s">
        <v>9215</v>
      </c>
      <c r="W58" s="137" t="s">
        <v>37</v>
      </c>
      <c r="X58" s="139">
        <v>44491</v>
      </c>
      <c r="Y58" s="137"/>
      <c r="Z58" s="358"/>
      <c r="AA58" s="1110"/>
    </row>
    <row r="59" spans="1:27" s="871" customFormat="1" ht="64.5" x14ac:dyDescent="0.25">
      <c r="A59" s="1042"/>
      <c r="B59" s="346"/>
      <c r="C59" s="258"/>
      <c r="D59" s="778"/>
      <c r="E59" s="778"/>
      <c r="F59" s="146"/>
      <c r="G59" s="95"/>
      <c r="H59" s="95"/>
      <c r="I59" s="122"/>
      <c r="J59" s="191">
        <v>578</v>
      </c>
      <c r="K59" s="359" t="s">
        <v>3828</v>
      </c>
      <c r="L59" s="913">
        <v>1620902.4380999999</v>
      </c>
      <c r="M59" s="913">
        <v>5341709.5535000004</v>
      </c>
      <c r="N59" s="108" t="s">
        <v>3858</v>
      </c>
      <c r="O59" s="108" t="s">
        <v>5</v>
      </c>
      <c r="P59" s="108">
        <v>1</v>
      </c>
      <c r="Q59" s="108" t="s">
        <v>9042</v>
      </c>
      <c r="R59" s="359" t="s">
        <v>3260</v>
      </c>
      <c r="S59" s="98" t="s">
        <v>10</v>
      </c>
      <c r="T59" s="847" t="s">
        <v>3869</v>
      </c>
      <c r="U59" s="137" t="s">
        <v>10141</v>
      </c>
      <c r="V59" s="137" t="s">
        <v>9215</v>
      </c>
      <c r="W59" s="137" t="s">
        <v>37</v>
      </c>
      <c r="X59" s="139">
        <v>44491</v>
      </c>
      <c r="Y59" s="137"/>
      <c r="Z59" s="358"/>
      <c r="AA59" s="1110"/>
    </row>
    <row r="60" spans="1:27" s="871" customFormat="1" ht="51.75" x14ac:dyDescent="0.25">
      <c r="A60" s="1042"/>
      <c r="B60" s="346"/>
      <c r="C60" s="258"/>
      <c r="D60" s="778"/>
      <c r="E60" s="778"/>
      <c r="F60" s="146"/>
      <c r="G60" s="95"/>
      <c r="H60" s="95"/>
      <c r="I60" s="122"/>
      <c r="J60" s="191">
        <v>579</v>
      </c>
      <c r="K60" s="359" t="s">
        <v>3829</v>
      </c>
      <c r="L60" s="913">
        <v>1621394.3117</v>
      </c>
      <c r="M60" s="913">
        <v>5341997.3871999998</v>
      </c>
      <c r="N60" s="108" t="s">
        <v>3859</v>
      </c>
      <c r="O60" s="108" t="s">
        <v>5</v>
      </c>
      <c r="P60" s="108">
        <v>1</v>
      </c>
      <c r="Q60" s="108" t="s">
        <v>9041</v>
      </c>
      <c r="R60" s="359" t="s">
        <v>3260</v>
      </c>
      <c r="S60" s="98" t="s">
        <v>16</v>
      </c>
      <c r="T60" s="847" t="s">
        <v>261</v>
      </c>
      <c r="U60" s="137" t="s">
        <v>10139</v>
      </c>
      <c r="V60" s="137" t="s">
        <v>9215</v>
      </c>
      <c r="W60" s="137" t="s">
        <v>37</v>
      </c>
      <c r="X60" s="139">
        <v>44491</v>
      </c>
      <c r="Y60" s="137"/>
      <c r="Z60" s="358"/>
      <c r="AA60" s="1110"/>
    </row>
    <row r="61" spans="1:27" s="871" customFormat="1" ht="51.75" x14ac:dyDescent="0.25">
      <c r="A61" s="1042"/>
      <c r="B61" s="346"/>
      <c r="C61" s="258"/>
      <c r="D61" s="778"/>
      <c r="E61" s="778"/>
      <c r="F61" s="146"/>
      <c r="G61" s="95"/>
      <c r="H61" s="95"/>
      <c r="I61" s="122"/>
      <c r="J61" s="191">
        <v>580</v>
      </c>
      <c r="K61" s="359" t="s">
        <v>3830</v>
      </c>
      <c r="L61" s="913">
        <v>1628169.7446000001</v>
      </c>
      <c r="M61" s="913">
        <v>5346958.7851</v>
      </c>
      <c r="N61" s="108" t="s">
        <v>3860</v>
      </c>
      <c r="O61" s="108" t="s">
        <v>5</v>
      </c>
      <c r="P61" s="108">
        <v>1</v>
      </c>
      <c r="Q61" s="108" t="s">
        <v>9040</v>
      </c>
      <c r="R61" s="359" t="s">
        <v>3260</v>
      </c>
      <c r="S61" s="98" t="s">
        <v>16</v>
      </c>
      <c r="T61" s="847" t="s">
        <v>24</v>
      </c>
      <c r="U61" s="137" t="s">
        <v>10144</v>
      </c>
      <c r="V61" s="137" t="s">
        <v>9215</v>
      </c>
      <c r="W61" s="137" t="s">
        <v>37</v>
      </c>
      <c r="X61" s="139">
        <v>44491</v>
      </c>
      <c r="Y61" s="137"/>
      <c r="Z61" s="358"/>
      <c r="AA61" s="1110"/>
    </row>
    <row r="62" spans="1:27" s="871" customFormat="1" ht="51.75" x14ac:dyDescent="0.25">
      <c r="A62" s="1042"/>
      <c r="B62" s="346"/>
      <c r="C62" s="258"/>
      <c r="D62" s="778"/>
      <c r="E62" s="778"/>
      <c r="F62" s="146"/>
      <c r="G62" s="95"/>
      <c r="H62" s="95"/>
      <c r="I62" s="122"/>
      <c r="J62" s="191">
        <v>581</v>
      </c>
      <c r="K62" s="359" t="s">
        <v>3831</v>
      </c>
      <c r="L62" s="913">
        <v>1632816.75</v>
      </c>
      <c r="M62" s="913">
        <v>5350676.9156999998</v>
      </c>
      <c r="N62" s="108" t="s">
        <v>1135</v>
      </c>
      <c r="O62" s="108" t="s">
        <v>5</v>
      </c>
      <c r="P62" s="108">
        <v>1</v>
      </c>
      <c r="Q62" s="108" t="s">
        <v>9039</v>
      </c>
      <c r="R62" s="359" t="s">
        <v>3260</v>
      </c>
      <c r="S62" s="98" t="s">
        <v>16</v>
      </c>
      <c r="T62" s="847" t="s">
        <v>3867</v>
      </c>
      <c r="U62" s="137" t="s">
        <v>10139</v>
      </c>
      <c r="V62" s="137" t="s">
        <v>9215</v>
      </c>
      <c r="W62" s="137" t="s">
        <v>37</v>
      </c>
      <c r="X62" s="139">
        <v>44491</v>
      </c>
      <c r="Y62" s="137"/>
      <c r="Z62" s="358"/>
      <c r="AA62" s="1110"/>
    </row>
    <row r="63" spans="1:27" s="871" customFormat="1" ht="26.25" x14ac:dyDescent="0.25">
      <c r="A63" s="1042"/>
      <c r="B63" s="346"/>
      <c r="C63" s="258"/>
      <c r="D63" s="778"/>
      <c r="E63" s="778"/>
      <c r="F63" s="146"/>
      <c r="G63" s="95"/>
      <c r="H63" s="95"/>
      <c r="I63" s="122"/>
      <c r="J63" s="191">
        <v>582</v>
      </c>
      <c r="K63" s="359" t="s">
        <v>3832</v>
      </c>
      <c r="L63" s="913">
        <v>1648290.4665000001</v>
      </c>
      <c r="M63" s="913">
        <v>5362115.1441000002</v>
      </c>
      <c r="N63" s="108" t="s">
        <v>3861</v>
      </c>
      <c r="O63" s="108" t="s">
        <v>5</v>
      </c>
      <c r="P63" s="108">
        <v>1</v>
      </c>
      <c r="Q63" s="108" t="s">
        <v>9038</v>
      </c>
      <c r="R63" s="359" t="s">
        <v>3260</v>
      </c>
      <c r="S63" s="98" t="s">
        <v>16</v>
      </c>
      <c r="T63" s="847" t="s">
        <v>58</v>
      </c>
      <c r="U63" s="137" t="s">
        <v>10145</v>
      </c>
      <c r="V63" s="137" t="s">
        <v>9215</v>
      </c>
      <c r="W63" s="137" t="s">
        <v>37</v>
      </c>
      <c r="X63" s="139">
        <v>44491</v>
      </c>
      <c r="Y63" s="137"/>
      <c r="Z63" s="358"/>
      <c r="AA63" s="1110"/>
    </row>
    <row r="64" spans="1:27" s="871" customFormat="1" ht="26.25" x14ac:dyDescent="0.25">
      <c r="A64" s="1042"/>
      <c r="B64" s="346"/>
      <c r="C64" s="258"/>
      <c r="D64" s="778"/>
      <c r="E64" s="778"/>
      <c r="F64" s="146"/>
      <c r="G64" s="95"/>
      <c r="H64" s="95"/>
      <c r="I64" s="122"/>
      <c r="J64" s="191">
        <v>583</v>
      </c>
      <c r="K64" s="359" t="s">
        <v>3833</v>
      </c>
      <c r="L64" s="913">
        <v>1669886.6011000001</v>
      </c>
      <c r="M64" s="913">
        <v>5377907.4703000002</v>
      </c>
      <c r="N64" s="108" t="s">
        <v>3730</v>
      </c>
      <c r="O64" s="108" t="s">
        <v>5</v>
      </c>
      <c r="P64" s="108">
        <v>1</v>
      </c>
      <c r="Q64" s="108" t="s">
        <v>5506</v>
      </c>
      <c r="R64" s="359" t="s">
        <v>3260</v>
      </c>
      <c r="S64" s="98" t="s">
        <v>16</v>
      </c>
      <c r="T64" s="847" t="s">
        <v>798</v>
      </c>
      <c r="U64" s="137" t="s">
        <v>10145</v>
      </c>
      <c r="V64" s="137" t="s">
        <v>9215</v>
      </c>
      <c r="W64" s="137" t="s">
        <v>37</v>
      </c>
      <c r="X64" s="139">
        <v>44491</v>
      </c>
      <c r="Y64" s="137"/>
      <c r="Z64" s="358"/>
      <c r="AA64" s="1110"/>
    </row>
    <row r="65" spans="1:27" s="871" customFormat="1" ht="26.25" x14ac:dyDescent="0.25">
      <c r="A65" s="1042"/>
      <c r="B65" s="346"/>
      <c r="C65" s="258"/>
      <c r="D65" s="778"/>
      <c r="E65" s="778"/>
      <c r="F65" s="146"/>
      <c r="G65" s="95"/>
      <c r="H65" s="95"/>
      <c r="I65" s="122"/>
      <c r="J65" s="191">
        <v>584</v>
      </c>
      <c r="K65" s="359" t="s">
        <v>1342</v>
      </c>
      <c r="L65" s="913">
        <v>1677410.5244</v>
      </c>
      <c r="M65" s="913">
        <v>5384200.7560999999</v>
      </c>
      <c r="N65" s="108" t="s">
        <v>3862</v>
      </c>
      <c r="O65" s="108" t="s">
        <v>5</v>
      </c>
      <c r="P65" s="108">
        <v>1</v>
      </c>
      <c r="Q65" s="108" t="s">
        <v>2244</v>
      </c>
      <c r="R65" s="359" t="s">
        <v>3260</v>
      </c>
      <c r="S65" s="98" t="s">
        <v>16</v>
      </c>
      <c r="T65" s="847" t="s">
        <v>58</v>
      </c>
      <c r="U65" s="137" t="s">
        <v>10146</v>
      </c>
      <c r="V65" s="137" t="s">
        <v>9215</v>
      </c>
      <c r="W65" s="137" t="s">
        <v>37</v>
      </c>
      <c r="X65" s="139">
        <v>44491</v>
      </c>
      <c r="Y65" s="137"/>
      <c r="Z65" s="358"/>
      <c r="AA65" s="1110"/>
    </row>
    <row r="66" spans="1:27" s="871" customFormat="1" ht="26.25" x14ac:dyDescent="0.25">
      <c r="A66" s="1042"/>
      <c r="B66" s="346"/>
      <c r="C66" s="258"/>
      <c r="D66" s="778"/>
      <c r="E66" s="778"/>
      <c r="F66" s="146"/>
      <c r="G66" s="95"/>
      <c r="H66" s="95"/>
      <c r="I66" s="122"/>
      <c r="J66" s="191">
        <v>585</v>
      </c>
      <c r="K66" s="359" t="s">
        <v>3834</v>
      </c>
      <c r="L66" s="913">
        <v>1677454.5181</v>
      </c>
      <c r="M66" s="913">
        <v>5384236.7410000004</v>
      </c>
      <c r="N66" s="108" t="s">
        <v>3862</v>
      </c>
      <c r="O66" s="108" t="s">
        <v>5</v>
      </c>
      <c r="P66" s="108">
        <v>1</v>
      </c>
      <c r="Q66" s="108" t="s">
        <v>2244</v>
      </c>
      <c r="R66" s="359" t="s">
        <v>3260</v>
      </c>
      <c r="S66" s="98" t="s">
        <v>16</v>
      </c>
      <c r="T66" s="847" t="s">
        <v>3867</v>
      </c>
      <c r="U66" s="137" t="s">
        <v>10146</v>
      </c>
      <c r="V66" s="137" t="s">
        <v>9215</v>
      </c>
      <c r="W66" s="137" t="s">
        <v>37</v>
      </c>
      <c r="X66" s="139">
        <v>44491</v>
      </c>
      <c r="Y66" s="137"/>
      <c r="Z66" s="358"/>
      <c r="AA66" s="1110"/>
    </row>
    <row r="67" spans="1:27" s="871" customFormat="1" ht="26.25" x14ac:dyDescent="0.25">
      <c r="A67" s="1042"/>
      <c r="B67" s="346"/>
      <c r="C67" s="258"/>
      <c r="D67" s="778"/>
      <c r="E67" s="778"/>
      <c r="F67" s="146"/>
      <c r="G67" s="95"/>
      <c r="H67" s="95"/>
      <c r="I67" s="122"/>
      <c r="J67" s="191">
        <v>586</v>
      </c>
      <c r="K67" s="359" t="s">
        <v>3835</v>
      </c>
      <c r="L67" s="913">
        <v>1677662.4909000001</v>
      </c>
      <c r="M67" s="913">
        <v>5384424.6655000001</v>
      </c>
      <c r="N67" s="108" t="s">
        <v>3863</v>
      </c>
      <c r="O67" s="108" t="s">
        <v>5</v>
      </c>
      <c r="P67" s="108">
        <v>1</v>
      </c>
      <c r="Q67" s="108" t="s">
        <v>9037</v>
      </c>
      <c r="R67" s="359" t="s">
        <v>3260</v>
      </c>
      <c r="S67" s="98" t="s">
        <v>16</v>
      </c>
      <c r="T67" s="847" t="s">
        <v>798</v>
      </c>
      <c r="U67" s="137" t="s">
        <v>10146</v>
      </c>
      <c r="V67" s="137" t="s">
        <v>9215</v>
      </c>
      <c r="W67" s="137" t="s">
        <v>37</v>
      </c>
      <c r="X67" s="139">
        <v>44491</v>
      </c>
      <c r="Y67" s="137"/>
      <c r="Z67" s="358"/>
      <c r="AA67" s="1110"/>
    </row>
    <row r="68" spans="1:27" s="871" customFormat="1" ht="26.25" x14ac:dyDescent="0.25">
      <c r="A68" s="1042"/>
      <c r="B68" s="346"/>
      <c r="C68" s="258"/>
      <c r="D68" s="778"/>
      <c r="E68" s="778"/>
      <c r="F68" s="146"/>
      <c r="G68" s="95"/>
      <c r="H68" s="95"/>
      <c r="I68" s="122"/>
      <c r="J68" s="191">
        <v>587</v>
      </c>
      <c r="K68" s="359" t="s">
        <v>3836</v>
      </c>
      <c r="L68" s="913">
        <v>1677669.4898000001</v>
      </c>
      <c r="M68" s="913">
        <v>5384429.6633000001</v>
      </c>
      <c r="N68" s="108" t="s">
        <v>993</v>
      </c>
      <c r="O68" s="108" t="s">
        <v>5</v>
      </c>
      <c r="P68" s="108">
        <v>1</v>
      </c>
      <c r="Q68" s="108" t="s">
        <v>5576</v>
      </c>
      <c r="R68" s="359" t="s">
        <v>3260</v>
      </c>
      <c r="S68" s="98" t="s">
        <v>16</v>
      </c>
      <c r="T68" s="847" t="s">
        <v>3869</v>
      </c>
      <c r="U68" s="137" t="s">
        <v>10146</v>
      </c>
      <c r="V68" s="137" t="s">
        <v>9215</v>
      </c>
      <c r="W68" s="137" t="s">
        <v>37</v>
      </c>
      <c r="X68" s="139">
        <v>44491</v>
      </c>
      <c r="Y68" s="137"/>
      <c r="Z68" s="358"/>
      <c r="AA68" s="1110"/>
    </row>
    <row r="69" spans="1:27" s="871" customFormat="1" ht="26.25" x14ac:dyDescent="0.25">
      <c r="A69" s="1042"/>
      <c r="B69" s="346"/>
      <c r="C69" s="258"/>
      <c r="D69" s="778"/>
      <c r="E69" s="778"/>
      <c r="F69" s="146"/>
      <c r="G69" s="95"/>
      <c r="H69" s="95"/>
      <c r="I69" s="122"/>
      <c r="J69" s="191">
        <v>588</v>
      </c>
      <c r="K69" s="359" t="s">
        <v>3837</v>
      </c>
      <c r="L69" s="913">
        <v>1677677.4890000001</v>
      </c>
      <c r="M69" s="913">
        <v>5384438.6600000001</v>
      </c>
      <c r="N69" s="108" t="s">
        <v>3862</v>
      </c>
      <c r="O69" s="108" t="s">
        <v>5</v>
      </c>
      <c r="P69" s="108">
        <v>1</v>
      </c>
      <c r="Q69" s="108" t="s">
        <v>2244</v>
      </c>
      <c r="R69" s="359" t="s">
        <v>3260</v>
      </c>
      <c r="S69" s="98" t="s">
        <v>16</v>
      </c>
      <c r="T69" s="847" t="s">
        <v>3869</v>
      </c>
      <c r="U69" s="137" t="s">
        <v>10146</v>
      </c>
      <c r="V69" s="137" t="s">
        <v>9215</v>
      </c>
      <c r="W69" s="137" t="s">
        <v>37</v>
      </c>
      <c r="X69" s="139">
        <v>44491</v>
      </c>
      <c r="Y69" s="137"/>
      <c r="Z69" s="358"/>
      <c r="AA69" s="1110"/>
    </row>
    <row r="70" spans="1:27" s="871" customFormat="1" ht="51.75" x14ac:dyDescent="0.25">
      <c r="A70" s="1042"/>
      <c r="B70" s="346"/>
      <c r="C70" s="258"/>
      <c r="D70" s="778"/>
      <c r="E70" s="778"/>
      <c r="F70" s="146"/>
      <c r="G70" s="95"/>
      <c r="H70" s="95"/>
      <c r="I70" s="122"/>
      <c r="J70" s="191">
        <v>589</v>
      </c>
      <c r="K70" s="359" t="s">
        <v>3838</v>
      </c>
      <c r="L70" s="913">
        <v>1679899.1735</v>
      </c>
      <c r="M70" s="913">
        <v>5386245.9086999996</v>
      </c>
      <c r="N70" s="108" t="s">
        <v>1319</v>
      </c>
      <c r="O70" s="108" t="s">
        <v>5</v>
      </c>
      <c r="P70" s="108">
        <v>1</v>
      </c>
      <c r="Q70" s="108" t="s">
        <v>6346</v>
      </c>
      <c r="R70" s="359" t="s">
        <v>3260</v>
      </c>
      <c r="S70" s="98" t="s">
        <v>16</v>
      </c>
      <c r="T70" s="847" t="s">
        <v>798</v>
      </c>
      <c r="U70" s="137" t="s">
        <v>10150</v>
      </c>
      <c r="V70" s="137" t="s">
        <v>9215</v>
      </c>
      <c r="W70" s="137" t="s">
        <v>37</v>
      </c>
      <c r="X70" s="139">
        <v>44491</v>
      </c>
      <c r="Y70" s="137"/>
      <c r="Z70" s="358"/>
      <c r="AA70" s="1110"/>
    </row>
    <row r="71" spans="1:27" s="871" customFormat="1" ht="51.75" x14ac:dyDescent="0.25">
      <c r="A71" s="1042"/>
      <c r="B71" s="346"/>
      <c r="C71" s="258"/>
      <c r="D71" s="778"/>
      <c r="E71" s="778"/>
      <c r="F71" s="146"/>
      <c r="G71" s="95"/>
      <c r="H71" s="95"/>
      <c r="I71" s="122"/>
      <c r="J71" s="191">
        <v>590</v>
      </c>
      <c r="K71" s="359" t="s">
        <v>3839</v>
      </c>
      <c r="L71" s="913">
        <v>1680103.1472</v>
      </c>
      <c r="M71" s="913">
        <v>5386428.8361</v>
      </c>
      <c r="N71" s="108" t="s">
        <v>3864</v>
      </c>
      <c r="O71" s="108" t="s">
        <v>5</v>
      </c>
      <c r="P71" s="108">
        <v>1</v>
      </c>
      <c r="Q71" s="108" t="s">
        <v>9036</v>
      </c>
      <c r="R71" s="359" t="s">
        <v>3260</v>
      </c>
      <c r="S71" s="98" t="s">
        <v>16</v>
      </c>
      <c r="T71" s="847" t="s">
        <v>24</v>
      </c>
      <c r="U71" s="137" t="s">
        <v>10147</v>
      </c>
      <c r="V71" s="137" t="s">
        <v>9215</v>
      </c>
      <c r="W71" s="137" t="s">
        <v>37</v>
      </c>
      <c r="X71" s="139">
        <v>44491</v>
      </c>
      <c r="Y71" s="137"/>
      <c r="Z71" s="358"/>
      <c r="AA71" s="1110"/>
    </row>
    <row r="72" spans="1:27" s="871" customFormat="1" ht="26.25" x14ac:dyDescent="0.25">
      <c r="A72" s="1042"/>
      <c r="B72" s="346"/>
      <c r="C72" s="258"/>
      <c r="D72" s="778"/>
      <c r="E72" s="778"/>
      <c r="F72" s="146"/>
      <c r="G72" s="95"/>
      <c r="H72" s="95"/>
      <c r="I72" s="122"/>
      <c r="J72" s="191">
        <v>591</v>
      </c>
      <c r="K72" s="359" t="s">
        <v>3840</v>
      </c>
      <c r="L72" s="913">
        <v>1680110.1462000001</v>
      </c>
      <c r="M72" s="913">
        <v>5386433.8339</v>
      </c>
      <c r="N72" s="108" t="s">
        <v>3864</v>
      </c>
      <c r="O72" s="108" t="s">
        <v>5</v>
      </c>
      <c r="P72" s="108">
        <v>1</v>
      </c>
      <c r="Q72" s="108" t="s">
        <v>9036</v>
      </c>
      <c r="R72" s="359" t="s">
        <v>3260</v>
      </c>
      <c r="S72" s="98" t="s">
        <v>16</v>
      </c>
      <c r="T72" s="847" t="s">
        <v>24</v>
      </c>
      <c r="U72" s="137" t="s">
        <v>10146</v>
      </c>
      <c r="V72" s="137" t="s">
        <v>9215</v>
      </c>
      <c r="W72" s="137" t="s">
        <v>37</v>
      </c>
      <c r="X72" s="139">
        <v>44491</v>
      </c>
      <c r="Y72" s="137"/>
      <c r="Z72" s="358"/>
      <c r="AA72" s="1110"/>
    </row>
    <row r="73" spans="1:27" s="871" customFormat="1" ht="26.25" x14ac:dyDescent="0.25">
      <c r="A73" s="1042"/>
      <c r="B73" s="346"/>
      <c r="C73" s="258"/>
      <c r="D73" s="778"/>
      <c r="E73" s="778"/>
      <c r="F73" s="146"/>
      <c r="G73" s="95"/>
      <c r="H73" s="95"/>
      <c r="I73" s="122"/>
      <c r="J73" s="191">
        <v>592</v>
      </c>
      <c r="K73" s="359" t="s">
        <v>3841</v>
      </c>
      <c r="L73" s="913">
        <v>1682118.8193000001</v>
      </c>
      <c r="M73" s="913">
        <v>5387719.2473999998</v>
      </c>
      <c r="N73" s="108" t="s">
        <v>3865</v>
      </c>
      <c r="O73" s="108" t="s">
        <v>5</v>
      </c>
      <c r="P73" s="108">
        <v>1</v>
      </c>
      <c r="Q73" s="108" t="s">
        <v>9015</v>
      </c>
      <c r="R73" s="359" t="s">
        <v>3260</v>
      </c>
      <c r="S73" s="98" t="s">
        <v>16</v>
      </c>
      <c r="T73" s="847" t="s">
        <v>3870</v>
      </c>
      <c r="U73" s="137" t="s">
        <v>10148</v>
      </c>
      <c r="V73" s="137" t="s">
        <v>9215</v>
      </c>
      <c r="W73" s="137" t="s">
        <v>37</v>
      </c>
      <c r="X73" s="139">
        <v>44491</v>
      </c>
      <c r="Y73" s="137"/>
      <c r="Z73" s="358"/>
      <c r="AA73" s="1110"/>
    </row>
    <row r="74" spans="1:27" s="871" customFormat="1" ht="26.25" x14ac:dyDescent="0.25">
      <c r="A74" s="1042"/>
      <c r="B74" s="346"/>
      <c r="C74" s="258"/>
      <c r="D74" s="778"/>
      <c r="E74" s="778"/>
      <c r="F74" s="146"/>
      <c r="G74" s="95"/>
      <c r="H74" s="95"/>
      <c r="I74" s="122"/>
      <c r="J74" s="191">
        <v>593</v>
      </c>
      <c r="K74" s="359" t="s">
        <v>3842</v>
      </c>
      <c r="L74" s="913">
        <v>1682137.8162</v>
      </c>
      <c r="M74" s="913">
        <v>5387731.2418999998</v>
      </c>
      <c r="N74" s="108" t="s">
        <v>3865</v>
      </c>
      <c r="O74" s="108" t="s">
        <v>5</v>
      </c>
      <c r="P74" s="108">
        <v>1</v>
      </c>
      <c r="Q74" s="108" t="s">
        <v>9015</v>
      </c>
      <c r="R74" s="359" t="s">
        <v>3260</v>
      </c>
      <c r="S74" s="98" t="s">
        <v>16</v>
      </c>
      <c r="T74" s="847" t="s">
        <v>3869</v>
      </c>
      <c r="U74" s="137" t="s">
        <v>10148</v>
      </c>
      <c r="V74" s="137" t="s">
        <v>9215</v>
      </c>
      <c r="W74" s="137" t="s">
        <v>37</v>
      </c>
      <c r="X74" s="139">
        <v>44491</v>
      </c>
      <c r="Y74" s="137"/>
      <c r="Z74" s="358"/>
      <c r="AA74" s="1110"/>
    </row>
    <row r="75" spans="1:27" s="871" customFormat="1" ht="26.25" x14ac:dyDescent="0.25">
      <c r="A75" s="1042"/>
      <c r="B75" s="346"/>
      <c r="C75" s="258"/>
      <c r="D75" s="778"/>
      <c r="E75" s="778"/>
      <c r="F75" s="146"/>
      <c r="G75" s="95"/>
      <c r="H75" s="95"/>
      <c r="I75" s="122"/>
      <c r="J75" s="191">
        <v>594</v>
      </c>
      <c r="K75" s="359" t="s">
        <v>3843</v>
      </c>
      <c r="L75" s="913">
        <v>1682171.8115999999</v>
      </c>
      <c r="M75" s="913">
        <v>5387759.2306000004</v>
      </c>
      <c r="N75" s="108" t="s">
        <v>3865</v>
      </c>
      <c r="O75" s="108" t="s">
        <v>5</v>
      </c>
      <c r="P75" s="108">
        <v>1</v>
      </c>
      <c r="Q75" s="108" t="s">
        <v>9015</v>
      </c>
      <c r="R75" s="359" t="s">
        <v>3260</v>
      </c>
      <c r="S75" s="98" t="s">
        <v>16</v>
      </c>
      <c r="T75" s="847" t="s">
        <v>3870</v>
      </c>
      <c r="U75" s="137" t="s">
        <v>10146</v>
      </c>
      <c r="V75" s="137" t="s">
        <v>9215</v>
      </c>
      <c r="W75" s="137" t="s">
        <v>37</v>
      </c>
      <c r="X75" s="139">
        <v>44491</v>
      </c>
      <c r="Y75" s="137"/>
      <c r="Z75" s="358"/>
      <c r="AA75" s="1110"/>
    </row>
    <row r="76" spans="1:27" s="871" customFormat="1" ht="26.25" x14ac:dyDescent="0.25">
      <c r="A76" s="1042"/>
      <c r="B76" s="346"/>
      <c r="C76" s="258"/>
      <c r="D76" s="778"/>
      <c r="E76" s="778"/>
      <c r="F76" s="146"/>
      <c r="G76" s="95"/>
      <c r="H76" s="95"/>
      <c r="I76" s="122"/>
      <c r="J76" s="191">
        <v>595</v>
      </c>
      <c r="K76" s="359" t="s">
        <v>3844</v>
      </c>
      <c r="L76" s="913">
        <v>1682204.8038999999</v>
      </c>
      <c r="M76" s="913">
        <v>5387763.2251000004</v>
      </c>
      <c r="N76" s="108" t="s">
        <v>3865</v>
      </c>
      <c r="O76" s="108" t="s">
        <v>5</v>
      </c>
      <c r="P76" s="108">
        <v>1</v>
      </c>
      <c r="Q76" s="108" t="s">
        <v>9015</v>
      </c>
      <c r="R76" s="359" t="s">
        <v>3260</v>
      </c>
      <c r="S76" s="98" t="s">
        <v>16</v>
      </c>
      <c r="T76" s="847" t="s">
        <v>3870</v>
      </c>
      <c r="U76" s="137" t="s">
        <v>10146</v>
      </c>
      <c r="V76" s="137" t="s">
        <v>9215</v>
      </c>
      <c r="W76" s="137" t="s">
        <v>37</v>
      </c>
      <c r="X76" s="139">
        <v>44491</v>
      </c>
      <c r="Y76" s="137"/>
      <c r="Z76" s="358"/>
      <c r="AA76" s="1110"/>
    </row>
    <row r="77" spans="1:27" s="871" customFormat="1" ht="26.25" x14ac:dyDescent="0.25">
      <c r="A77" s="1042"/>
      <c r="B77" s="346"/>
      <c r="C77" s="258"/>
      <c r="D77" s="778"/>
      <c r="E77" s="778"/>
      <c r="F77" s="146"/>
      <c r="G77" s="95"/>
      <c r="H77" s="95"/>
      <c r="I77" s="122"/>
      <c r="J77" s="191">
        <v>596</v>
      </c>
      <c r="K77" s="359" t="s">
        <v>3845</v>
      </c>
      <c r="L77" s="913">
        <v>1683304.6185999999</v>
      </c>
      <c r="M77" s="913">
        <v>5388400.9221000001</v>
      </c>
      <c r="N77" s="108" t="s">
        <v>3866</v>
      </c>
      <c r="O77" s="108" t="s">
        <v>5</v>
      </c>
      <c r="P77" s="108">
        <v>1</v>
      </c>
      <c r="Q77" s="108" t="s">
        <v>9035</v>
      </c>
      <c r="R77" s="359" t="s">
        <v>3260</v>
      </c>
      <c r="S77" s="98" t="s">
        <v>16</v>
      </c>
      <c r="T77" s="847" t="s">
        <v>261</v>
      </c>
      <c r="U77" s="137" t="s">
        <v>10146</v>
      </c>
      <c r="V77" s="137" t="s">
        <v>9215</v>
      </c>
      <c r="W77" s="137" t="s">
        <v>37</v>
      </c>
      <c r="X77" s="139">
        <v>44491</v>
      </c>
      <c r="Y77" s="137"/>
      <c r="Z77" s="358"/>
      <c r="AA77" s="1110"/>
    </row>
    <row r="78" spans="1:27" s="871" customFormat="1" ht="26.25" x14ac:dyDescent="0.25">
      <c r="A78" s="1042"/>
      <c r="B78" s="346"/>
      <c r="C78" s="258"/>
      <c r="D78" s="778"/>
      <c r="E78" s="778"/>
      <c r="F78" s="146"/>
      <c r="G78" s="95"/>
      <c r="H78" s="95"/>
      <c r="I78" s="122"/>
      <c r="J78" s="191">
        <v>597</v>
      </c>
      <c r="K78" s="359" t="s">
        <v>3846</v>
      </c>
      <c r="L78" s="913">
        <v>1683355.6115000001</v>
      </c>
      <c r="M78" s="913">
        <v>5388440.9057</v>
      </c>
      <c r="N78" s="108" t="s">
        <v>3866</v>
      </c>
      <c r="O78" s="108" t="s">
        <v>5</v>
      </c>
      <c r="P78" s="108">
        <v>1</v>
      </c>
      <c r="Q78" s="108" t="s">
        <v>9035</v>
      </c>
      <c r="R78" s="359" t="s">
        <v>3260</v>
      </c>
      <c r="S78" s="98" t="s">
        <v>16</v>
      </c>
      <c r="T78" s="847" t="s">
        <v>261</v>
      </c>
      <c r="U78" s="137" t="s">
        <v>10146</v>
      </c>
      <c r="V78" s="137" t="s">
        <v>9215</v>
      </c>
      <c r="W78" s="137" t="s">
        <v>37</v>
      </c>
      <c r="X78" s="139">
        <v>44491</v>
      </c>
      <c r="Y78" s="137"/>
      <c r="Z78" s="358"/>
      <c r="AA78" s="1110"/>
    </row>
    <row r="79" spans="1:27" s="871" customFormat="1" ht="27" thickBot="1" x14ac:dyDescent="0.3">
      <c r="A79" s="1042"/>
      <c r="B79" s="346"/>
      <c r="C79" s="258"/>
      <c r="D79" s="778"/>
      <c r="E79" s="778"/>
      <c r="F79" s="146"/>
      <c r="G79" s="95"/>
      <c r="H79" s="95"/>
      <c r="I79" s="122"/>
      <c r="J79" s="191">
        <v>598</v>
      </c>
      <c r="K79" s="359" t="s">
        <v>3847</v>
      </c>
      <c r="L79" s="913">
        <v>1684333.5097000001</v>
      </c>
      <c r="M79" s="913">
        <v>5389459.5334999999</v>
      </c>
      <c r="N79" s="108" t="s">
        <v>3865</v>
      </c>
      <c r="O79" s="108" t="s">
        <v>5</v>
      </c>
      <c r="P79" s="108">
        <v>1</v>
      </c>
      <c r="Q79" s="108" t="s">
        <v>9015</v>
      </c>
      <c r="R79" s="359" t="s">
        <v>3260</v>
      </c>
      <c r="S79" s="98" t="s">
        <v>16</v>
      </c>
      <c r="T79" s="847"/>
      <c r="U79" s="137" t="s">
        <v>10146</v>
      </c>
      <c r="V79" s="137" t="s">
        <v>9215</v>
      </c>
      <c r="W79" s="137" t="s">
        <v>37</v>
      </c>
      <c r="X79" s="139">
        <v>44491</v>
      </c>
      <c r="Y79" s="137"/>
      <c r="Z79" s="358"/>
      <c r="AA79" s="1110"/>
    </row>
    <row r="80" spans="1:27" s="871" customFormat="1" ht="26.25" x14ac:dyDescent="0.25">
      <c r="A80" s="807" t="s">
        <v>1441</v>
      </c>
      <c r="B80" s="349" t="s">
        <v>6801</v>
      </c>
      <c r="C80" s="157">
        <v>539</v>
      </c>
      <c r="D80" s="349" t="s">
        <v>53</v>
      </c>
      <c r="E80" s="349"/>
      <c r="F80" s="159" t="s">
        <v>152</v>
      </c>
      <c r="G80" s="159" t="s">
        <v>1974</v>
      </c>
      <c r="H80" s="157"/>
      <c r="I80" s="450"/>
      <c r="J80" s="193">
        <v>536</v>
      </c>
      <c r="K80" s="433" t="s">
        <v>3716</v>
      </c>
      <c r="L80" s="924">
        <v>1695382.83</v>
      </c>
      <c r="M80" s="924">
        <v>5396499.5007999996</v>
      </c>
      <c r="N80" s="159" t="s">
        <v>3728</v>
      </c>
      <c r="O80" s="159" t="s">
        <v>5</v>
      </c>
      <c r="P80" s="159">
        <v>1</v>
      </c>
      <c r="Q80" s="159" t="s">
        <v>5768</v>
      </c>
      <c r="R80" s="433" t="s">
        <v>3260</v>
      </c>
      <c r="S80" s="160" t="s">
        <v>16</v>
      </c>
      <c r="T80" s="846" t="s">
        <v>3737</v>
      </c>
      <c r="U80" s="152" t="s">
        <v>10148</v>
      </c>
      <c r="V80" s="152" t="s">
        <v>7889</v>
      </c>
      <c r="W80" s="152" t="s">
        <v>37</v>
      </c>
      <c r="X80" s="170">
        <v>44491</v>
      </c>
      <c r="Y80" s="152"/>
      <c r="Z80" s="361"/>
      <c r="AA80" s="1112"/>
    </row>
    <row r="81" spans="1:27" s="871" customFormat="1" ht="26.25" x14ac:dyDescent="0.25">
      <c r="A81" s="808"/>
      <c r="B81" s="550"/>
      <c r="C81" s="161"/>
      <c r="D81" s="550"/>
      <c r="E81" s="550"/>
      <c r="F81" s="163"/>
      <c r="G81" s="163"/>
      <c r="H81" s="161"/>
      <c r="I81" s="423"/>
      <c r="J81" s="194">
        <v>537</v>
      </c>
      <c r="K81" s="434" t="s">
        <v>3717</v>
      </c>
      <c r="L81" s="919">
        <v>1692383.3195</v>
      </c>
      <c r="M81" s="919">
        <v>5394900.2264</v>
      </c>
      <c r="N81" s="163" t="s">
        <v>3729</v>
      </c>
      <c r="O81" s="163" t="s">
        <v>5</v>
      </c>
      <c r="P81" s="163">
        <v>2</v>
      </c>
      <c r="Q81" s="163" t="s">
        <v>9034</v>
      </c>
      <c r="R81" s="434" t="s">
        <v>3260</v>
      </c>
      <c r="S81" s="164" t="s">
        <v>16</v>
      </c>
      <c r="T81" s="847" t="s">
        <v>3738</v>
      </c>
      <c r="U81" s="137" t="s">
        <v>10148</v>
      </c>
      <c r="V81" s="137" t="s">
        <v>7889</v>
      </c>
      <c r="W81" s="137" t="s">
        <v>37</v>
      </c>
      <c r="X81" s="139">
        <v>44491</v>
      </c>
      <c r="Y81" s="137"/>
      <c r="Z81" s="358"/>
      <c r="AA81" s="1110"/>
    </row>
    <row r="82" spans="1:27" s="871" customFormat="1" ht="26.25" x14ac:dyDescent="0.25">
      <c r="A82" s="1136"/>
      <c r="B82" s="1137"/>
      <c r="C82" s="430"/>
      <c r="D82" s="859"/>
      <c r="E82" s="859"/>
      <c r="F82" s="162"/>
      <c r="G82" s="161"/>
      <c r="H82" s="161"/>
      <c r="I82" s="423"/>
      <c r="J82" s="194">
        <v>538</v>
      </c>
      <c r="K82" s="434" t="s">
        <v>3718</v>
      </c>
      <c r="L82" s="919">
        <v>1687284.0556999999</v>
      </c>
      <c r="M82" s="919">
        <v>5391401.6860999996</v>
      </c>
      <c r="N82" s="163" t="s">
        <v>3730</v>
      </c>
      <c r="O82" s="163" t="s">
        <v>5</v>
      </c>
      <c r="P82" s="163">
        <v>1</v>
      </c>
      <c r="Q82" s="163" t="s">
        <v>5506</v>
      </c>
      <c r="R82" s="434" t="s">
        <v>3260</v>
      </c>
      <c r="S82" s="164" t="s">
        <v>16</v>
      </c>
      <c r="T82" s="847" t="s">
        <v>3739</v>
      </c>
      <c r="U82" s="137" t="s">
        <v>10145</v>
      </c>
      <c r="V82" s="137" t="s">
        <v>7889</v>
      </c>
      <c r="W82" s="137" t="s">
        <v>37</v>
      </c>
      <c r="X82" s="139">
        <v>44491</v>
      </c>
      <c r="Y82" s="137"/>
      <c r="Z82" s="358"/>
      <c r="AA82" s="1110"/>
    </row>
    <row r="83" spans="1:27" s="871" customFormat="1" ht="39" x14ac:dyDescent="0.25">
      <c r="A83" s="1136"/>
      <c r="B83" s="1137"/>
      <c r="C83" s="430"/>
      <c r="D83" s="859"/>
      <c r="E83" s="859"/>
      <c r="F83" s="162"/>
      <c r="G83" s="161"/>
      <c r="H83" s="161"/>
      <c r="I83" s="423"/>
      <c r="J83" s="194">
        <v>539</v>
      </c>
      <c r="K83" s="434" t="s">
        <v>3719</v>
      </c>
      <c r="L83" s="919">
        <v>1685684.3348000001</v>
      </c>
      <c r="M83" s="919">
        <v>5390602.0853000004</v>
      </c>
      <c r="N83" s="163" t="s">
        <v>3731</v>
      </c>
      <c r="O83" s="163" t="s">
        <v>5</v>
      </c>
      <c r="P83" s="163">
        <v>1</v>
      </c>
      <c r="Q83" s="163" t="s">
        <v>9032</v>
      </c>
      <c r="R83" s="434" t="s">
        <v>3260</v>
      </c>
      <c r="S83" s="164" t="s">
        <v>16</v>
      </c>
      <c r="T83" s="847" t="s">
        <v>24</v>
      </c>
      <c r="U83" s="137" t="s">
        <v>10149</v>
      </c>
      <c r="V83" s="137" t="s">
        <v>7889</v>
      </c>
      <c r="W83" s="137" t="s">
        <v>37</v>
      </c>
      <c r="X83" s="139">
        <v>44491</v>
      </c>
      <c r="Y83" s="137"/>
      <c r="Z83" s="358"/>
      <c r="AA83" s="1110"/>
    </row>
    <row r="84" spans="1:27" s="871" customFormat="1" ht="26.25" x14ac:dyDescent="0.25">
      <c r="A84" s="1136"/>
      <c r="B84" s="1137"/>
      <c r="C84" s="430"/>
      <c r="D84" s="859"/>
      <c r="E84" s="859"/>
      <c r="F84" s="162"/>
      <c r="G84" s="161"/>
      <c r="H84" s="161"/>
      <c r="I84" s="423"/>
      <c r="J84" s="194">
        <v>599</v>
      </c>
      <c r="K84" s="434" t="s">
        <v>3848</v>
      </c>
      <c r="L84" s="919">
        <v>1692383.3195</v>
      </c>
      <c r="M84" s="919">
        <v>5394900.2264</v>
      </c>
      <c r="N84" s="163" t="s">
        <v>3728</v>
      </c>
      <c r="O84" s="163" t="s">
        <v>5</v>
      </c>
      <c r="P84" s="163">
        <v>1</v>
      </c>
      <c r="Q84" s="163" t="s">
        <v>5768</v>
      </c>
      <c r="R84" s="434" t="s">
        <v>3260</v>
      </c>
      <c r="S84" s="164" t="s">
        <v>16</v>
      </c>
      <c r="T84" s="847" t="s">
        <v>3867</v>
      </c>
      <c r="U84" s="137" t="s">
        <v>10148</v>
      </c>
      <c r="V84" s="137" t="s">
        <v>9215</v>
      </c>
      <c r="W84" s="137" t="s">
        <v>37</v>
      </c>
      <c r="X84" s="139">
        <v>44162</v>
      </c>
      <c r="Y84" s="137"/>
      <c r="Z84" s="358"/>
      <c r="AA84" s="1110"/>
    </row>
    <row r="85" spans="1:27" s="871" customFormat="1" ht="27" thickBot="1" x14ac:dyDescent="0.3">
      <c r="A85" s="1138"/>
      <c r="B85" s="1139"/>
      <c r="C85" s="432"/>
      <c r="D85" s="860"/>
      <c r="E85" s="860"/>
      <c r="F85" s="166"/>
      <c r="G85" s="165"/>
      <c r="H85" s="165"/>
      <c r="I85" s="424"/>
      <c r="J85" s="195">
        <v>600</v>
      </c>
      <c r="K85" s="435" t="s">
        <v>3849</v>
      </c>
      <c r="L85" s="925">
        <v>1694606.9550999999</v>
      </c>
      <c r="M85" s="925">
        <v>5396087.6874000002</v>
      </c>
      <c r="N85" s="167" t="s">
        <v>3729</v>
      </c>
      <c r="O85" s="167" t="s">
        <v>5</v>
      </c>
      <c r="P85" s="167">
        <v>2</v>
      </c>
      <c r="Q85" s="167" t="s">
        <v>9034</v>
      </c>
      <c r="R85" s="435" t="s">
        <v>3260</v>
      </c>
      <c r="S85" s="168" t="s">
        <v>16</v>
      </c>
      <c r="T85" s="848" t="s">
        <v>24</v>
      </c>
      <c r="U85" s="155" t="s">
        <v>10148</v>
      </c>
      <c r="V85" s="155" t="s">
        <v>9215</v>
      </c>
      <c r="W85" s="155" t="s">
        <v>37</v>
      </c>
      <c r="X85" s="172">
        <v>44162</v>
      </c>
      <c r="Y85" s="155"/>
      <c r="Z85" s="362"/>
      <c r="AA85" s="1111"/>
    </row>
    <row r="86" spans="1:27" s="871" customFormat="1" ht="27" thickBot="1" x14ac:dyDescent="0.3">
      <c r="A86" s="487" t="s">
        <v>482</v>
      </c>
      <c r="B86" s="128" t="s">
        <v>6802</v>
      </c>
      <c r="C86" s="72">
        <v>541</v>
      </c>
      <c r="D86" s="586" t="s">
        <v>53</v>
      </c>
      <c r="E86" s="586" t="s">
        <v>52</v>
      </c>
      <c r="F86" s="72" t="s">
        <v>2083</v>
      </c>
      <c r="G86" s="140" t="s">
        <v>1972</v>
      </c>
      <c r="H86" s="72"/>
      <c r="I86" s="381"/>
      <c r="J86" s="192">
        <v>562</v>
      </c>
      <c r="K86" s="79" t="s">
        <v>3796</v>
      </c>
      <c r="L86" s="916">
        <v>1592706.3136</v>
      </c>
      <c r="M86" s="916">
        <v>5335257.6737000002</v>
      </c>
      <c r="N86" s="119" t="s">
        <v>3797</v>
      </c>
      <c r="O86" s="119" t="s">
        <v>61</v>
      </c>
      <c r="P86" s="119">
        <v>1</v>
      </c>
      <c r="Q86" s="119" t="s">
        <v>3799</v>
      </c>
      <c r="R86" s="79" t="s">
        <v>3798</v>
      </c>
      <c r="S86" s="80" t="s">
        <v>16</v>
      </c>
      <c r="T86" s="848" t="s">
        <v>3800</v>
      </c>
      <c r="U86" s="155" t="s">
        <v>3801</v>
      </c>
      <c r="V86" s="155" t="s">
        <v>3874</v>
      </c>
      <c r="W86" s="155" t="s">
        <v>37</v>
      </c>
      <c r="X86" s="172">
        <v>44162</v>
      </c>
      <c r="Y86" s="155"/>
      <c r="Z86" s="362"/>
      <c r="AA86" s="1111"/>
    </row>
    <row r="87" spans="1:27" s="871" customFormat="1" ht="27" thickBot="1" x14ac:dyDescent="0.3">
      <c r="A87" s="488"/>
      <c r="B87" s="131"/>
      <c r="C87" s="75"/>
      <c r="D87" s="568"/>
      <c r="E87" s="568"/>
      <c r="F87" s="75"/>
      <c r="G87" s="143"/>
      <c r="H87" s="75"/>
      <c r="I87" s="121"/>
      <c r="J87" s="87">
        <v>563</v>
      </c>
      <c r="K87" s="360" t="s">
        <v>3879</v>
      </c>
      <c r="L87" s="198">
        <v>1610156.6344000001</v>
      </c>
      <c r="M87" s="198">
        <v>5339323.8229999999</v>
      </c>
      <c r="N87" s="199" t="s">
        <v>3802</v>
      </c>
      <c r="O87" s="199" t="s">
        <v>61</v>
      </c>
      <c r="P87" s="199">
        <v>1</v>
      </c>
      <c r="Q87" s="199" t="s">
        <v>3804</v>
      </c>
      <c r="R87" s="360" t="s">
        <v>3798</v>
      </c>
      <c r="S87" s="88" t="s">
        <v>16</v>
      </c>
      <c r="T87" s="446" t="s">
        <v>24</v>
      </c>
      <c r="U87" s="208" t="s">
        <v>3801</v>
      </c>
      <c r="V87" s="208" t="s">
        <v>3874</v>
      </c>
      <c r="W87" s="208" t="s">
        <v>37</v>
      </c>
      <c r="X87" s="209">
        <v>44162</v>
      </c>
      <c r="Y87" s="208"/>
      <c r="Z87" s="364"/>
      <c r="AA87" s="1109"/>
    </row>
    <row r="88" spans="1:27" s="871" customFormat="1" ht="27" thickBot="1" x14ac:dyDescent="0.3">
      <c r="A88" s="1038"/>
      <c r="B88" s="571"/>
      <c r="C88" s="67"/>
      <c r="D88" s="580"/>
      <c r="E88" s="580"/>
      <c r="F88" s="143"/>
      <c r="G88" s="75"/>
      <c r="H88" s="75"/>
      <c r="I88" s="121"/>
      <c r="J88" s="87">
        <v>564</v>
      </c>
      <c r="K88" s="360" t="s">
        <v>3880</v>
      </c>
      <c r="L88" s="198">
        <v>1610090.9909000001</v>
      </c>
      <c r="M88" s="198">
        <v>5339303.0294000003</v>
      </c>
      <c r="N88" s="199" t="s">
        <v>3803</v>
      </c>
      <c r="O88" s="199" t="s">
        <v>61</v>
      </c>
      <c r="P88" s="199">
        <v>1</v>
      </c>
      <c r="Q88" s="199" t="s">
        <v>3805</v>
      </c>
      <c r="R88" s="360" t="s">
        <v>3798</v>
      </c>
      <c r="S88" s="88" t="s">
        <v>16</v>
      </c>
      <c r="T88" s="446" t="s">
        <v>24</v>
      </c>
      <c r="U88" s="208" t="s">
        <v>3801</v>
      </c>
      <c r="V88" s="208" t="s">
        <v>3874</v>
      </c>
      <c r="W88" s="208" t="s">
        <v>37</v>
      </c>
      <c r="X88" s="209">
        <v>44162</v>
      </c>
      <c r="Y88" s="208"/>
      <c r="Z88" s="364"/>
      <c r="AA88" s="1109"/>
    </row>
    <row r="89" spans="1:27" s="871" customFormat="1" ht="39.75" thickBot="1" x14ac:dyDescent="0.3">
      <c r="A89" s="1038"/>
      <c r="B89" s="571"/>
      <c r="C89" s="67"/>
      <c r="D89" s="580"/>
      <c r="E89" s="580"/>
      <c r="F89" s="143"/>
      <c r="G89" s="75"/>
      <c r="H89" s="75"/>
      <c r="I89" s="121"/>
      <c r="J89" s="87"/>
      <c r="K89" s="360" t="s">
        <v>3806</v>
      </c>
      <c r="L89" s="198"/>
      <c r="M89" s="198"/>
      <c r="N89" s="495" t="s">
        <v>1317</v>
      </c>
      <c r="O89" s="199" t="s">
        <v>5</v>
      </c>
      <c r="P89" s="199" t="s">
        <v>3807</v>
      </c>
      <c r="Q89" s="199" t="s">
        <v>9051</v>
      </c>
      <c r="R89" s="360" t="s">
        <v>10076</v>
      </c>
      <c r="S89" s="88" t="s">
        <v>16</v>
      </c>
      <c r="T89" s="446"/>
      <c r="U89" s="208"/>
      <c r="V89" s="208" t="s">
        <v>3752</v>
      </c>
      <c r="W89" s="208" t="s">
        <v>37</v>
      </c>
      <c r="X89" s="209">
        <v>44162</v>
      </c>
      <c r="Y89" s="208"/>
      <c r="Z89" s="364"/>
      <c r="AA89" s="1109"/>
    </row>
    <row r="90" spans="1:27" s="871" customFormat="1" ht="27" thickBot="1" x14ac:dyDescent="0.3">
      <c r="A90" s="1038"/>
      <c r="B90" s="571"/>
      <c r="C90" s="67"/>
      <c r="D90" s="580"/>
      <c r="E90" s="580"/>
      <c r="F90" s="143"/>
      <c r="G90" s="75"/>
      <c r="H90" s="75"/>
      <c r="I90" s="121"/>
      <c r="J90" s="87">
        <v>565</v>
      </c>
      <c r="K90" s="360" t="s">
        <v>3808</v>
      </c>
      <c r="L90" s="198">
        <v>1586175.6882</v>
      </c>
      <c r="M90" s="198">
        <v>5334526.7947000004</v>
      </c>
      <c r="N90" s="199" t="s">
        <v>3810</v>
      </c>
      <c r="O90" s="199" t="s">
        <v>61</v>
      </c>
      <c r="P90" s="199">
        <v>1</v>
      </c>
      <c r="Q90" s="199" t="s">
        <v>3815</v>
      </c>
      <c r="R90" s="360" t="s">
        <v>3798</v>
      </c>
      <c r="S90" s="88" t="s">
        <v>16</v>
      </c>
      <c r="T90" s="446" t="s">
        <v>1747</v>
      </c>
      <c r="U90" s="208" t="s">
        <v>3801</v>
      </c>
      <c r="V90" s="208" t="s">
        <v>3874</v>
      </c>
      <c r="W90" s="208" t="s">
        <v>37</v>
      </c>
      <c r="X90" s="209">
        <v>44162</v>
      </c>
      <c r="Y90" s="208"/>
      <c r="Z90" s="364"/>
      <c r="AA90" s="1109"/>
    </row>
    <row r="91" spans="1:27" s="871" customFormat="1" ht="27" thickBot="1" x14ac:dyDescent="0.3">
      <c r="A91" s="1038"/>
      <c r="B91" s="571"/>
      <c r="C91" s="67"/>
      <c r="D91" s="580"/>
      <c r="E91" s="580"/>
      <c r="F91" s="143"/>
      <c r="G91" s="75"/>
      <c r="H91" s="75"/>
      <c r="I91" s="121"/>
      <c r="J91" s="87">
        <v>566</v>
      </c>
      <c r="K91" s="360" t="s">
        <v>3809</v>
      </c>
      <c r="L91" s="198">
        <v>1589609.8665</v>
      </c>
      <c r="M91" s="198">
        <v>5335601.898</v>
      </c>
      <c r="N91" s="199" t="s">
        <v>3811</v>
      </c>
      <c r="O91" s="199" t="s">
        <v>61</v>
      </c>
      <c r="P91" s="199">
        <v>1</v>
      </c>
      <c r="Q91" s="199" t="s">
        <v>3816</v>
      </c>
      <c r="R91" s="360" t="s">
        <v>3798</v>
      </c>
      <c r="S91" s="88" t="s">
        <v>16</v>
      </c>
      <c r="T91" s="446" t="s">
        <v>1747</v>
      </c>
      <c r="U91" s="208" t="s">
        <v>3801</v>
      </c>
      <c r="V91" s="208" t="s">
        <v>3874</v>
      </c>
      <c r="W91" s="208" t="s">
        <v>37</v>
      </c>
      <c r="X91" s="209">
        <v>44162</v>
      </c>
      <c r="Y91" s="208"/>
      <c r="Z91" s="364"/>
      <c r="AA91" s="1109"/>
    </row>
    <row r="92" spans="1:27" s="871" customFormat="1" ht="27" thickBot="1" x14ac:dyDescent="0.3">
      <c r="A92" s="1038"/>
      <c r="B92" s="571"/>
      <c r="C92" s="67"/>
      <c r="D92" s="580"/>
      <c r="E92" s="580"/>
      <c r="F92" s="143"/>
      <c r="G92" s="75"/>
      <c r="H92" s="75"/>
      <c r="I92" s="121"/>
      <c r="J92" s="87">
        <v>567</v>
      </c>
      <c r="K92" s="360" t="s">
        <v>9189</v>
      </c>
      <c r="L92" s="198">
        <v>1589756.0974000001</v>
      </c>
      <c r="M92" s="198">
        <v>5335597.0147000002</v>
      </c>
      <c r="N92" s="199" t="s">
        <v>3812</v>
      </c>
      <c r="O92" s="199" t="s">
        <v>5</v>
      </c>
      <c r="P92" s="199">
        <v>1</v>
      </c>
      <c r="Q92" s="199" t="s">
        <v>3817</v>
      </c>
      <c r="R92" s="360" t="s">
        <v>3260</v>
      </c>
      <c r="S92" s="88" t="s">
        <v>16</v>
      </c>
      <c r="T92" s="446" t="s">
        <v>1747</v>
      </c>
      <c r="U92" s="208" t="s">
        <v>3801</v>
      </c>
      <c r="V92" s="208" t="s">
        <v>3874</v>
      </c>
      <c r="W92" s="208" t="s">
        <v>37</v>
      </c>
      <c r="X92" s="209">
        <v>44162</v>
      </c>
      <c r="Y92" s="208"/>
      <c r="Z92" s="364"/>
      <c r="AA92" s="1109"/>
    </row>
    <row r="93" spans="1:27" s="871" customFormat="1" ht="39.75" thickBot="1" x14ac:dyDescent="0.3">
      <c r="A93" s="1047"/>
      <c r="B93" s="323"/>
      <c r="C93" s="69"/>
      <c r="D93" s="857"/>
      <c r="E93" s="857"/>
      <c r="F93" s="144"/>
      <c r="G93" s="78"/>
      <c r="H93" s="78"/>
      <c r="I93" s="429"/>
      <c r="J93" s="87"/>
      <c r="K93" s="360" t="s">
        <v>3813</v>
      </c>
      <c r="L93" s="198"/>
      <c r="M93" s="198"/>
      <c r="N93" s="199" t="s">
        <v>3814</v>
      </c>
      <c r="O93" s="199" t="s">
        <v>5</v>
      </c>
      <c r="P93" s="199" t="s">
        <v>3807</v>
      </c>
      <c r="Q93" s="199" t="s">
        <v>9032</v>
      </c>
      <c r="R93" s="360" t="s">
        <v>9033</v>
      </c>
      <c r="S93" s="88" t="s">
        <v>16</v>
      </c>
      <c r="T93" s="446"/>
      <c r="U93" s="208"/>
      <c r="V93" s="208" t="s">
        <v>3752</v>
      </c>
      <c r="W93" s="208" t="s">
        <v>37</v>
      </c>
      <c r="X93" s="209">
        <v>44162</v>
      </c>
      <c r="Y93" s="208"/>
      <c r="Z93" s="364"/>
      <c r="AA93" s="1109"/>
    </row>
    <row r="94" spans="1:27" s="871" customFormat="1" ht="52.5" thickBot="1" x14ac:dyDescent="0.3">
      <c r="A94" s="635" t="s">
        <v>3872</v>
      </c>
      <c r="B94" s="316" t="s">
        <v>3871</v>
      </c>
      <c r="C94" s="254">
        <v>580</v>
      </c>
      <c r="D94" s="597" t="s">
        <v>53</v>
      </c>
      <c r="E94" s="597" t="s">
        <v>52</v>
      </c>
      <c r="F94" s="145" t="s">
        <v>668</v>
      </c>
      <c r="G94" s="125" t="s">
        <v>1972</v>
      </c>
      <c r="H94" s="125"/>
      <c r="I94" s="247"/>
      <c r="J94" s="89">
        <v>568</v>
      </c>
      <c r="K94" s="396" t="s">
        <v>3818</v>
      </c>
      <c r="L94" s="265">
        <v>1613017.726</v>
      </c>
      <c r="M94" s="265">
        <v>5332065.9272999996</v>
      </c>
      <c r="N94" s="109" t="s">
        <v>3850</v>
      </c>
      <c r="O94" s="109" t="s">
        <v>5</v>
      </c>
      <c r="P94" s="109">
        <v>1</v>
      </c>
      <c r="Q94" s="109" t="s">
        <v>9031</v>
      </c>
      <c r="R94" s="396" t="s">
        <v>3260</v>
      </c>
      <c r="S94" s="90" t="s">
        <v>16</v>
      </c>
      <c r="T94" s="446" t="s">
        <v>798</v>
      </c>
      <c r="U94" s="208" t="s">
        <v>10139</v>
      </c>
      <c r="V94" s="208" t="s">
        <v>9215</v>
      </c>
      <c r="W94" s="208" t="s">
        <v>37</v>
      </c>
      <c r="X94" s="209">
        <v>44491</v>
      </c>
      <c r="Y94" s="208"/>
      <c r="Z94" s="364"/>
      <c r="AA94" s="1109"/>
    </row>
    <row r="95" spans="1:27" s="871" customFormat="1" ht="52.5" thickBot="1" x14ac:dyDescent="0.3">
      <c r="A95" s="1042"/>
      <c r="B95" s="346"/>
      <c r="C95" s="258"/>
      <c r="D95" s="778"/>
      <c r="E95" s="778"/>
      <c r="F95" s="146"/>
      <c r="G95" s="95"/>
      <c r="H95" s="95"/>
      <c r="I95" s="122"/>
      <c r="J95" s="89">
        <v>569</v>
      </c>
      <c r="K95" s="396" t="s">
        <v>3819</v>
      </c>
      <c r="L95" s="265">
        <v>1614900.9347999999</v>
      </c>
      <c r="M95" s="265">
        <v>5337805.7191000003</v>
      </c>
      <c r="N95" s="109" t="s">
        <v>3851</v>
      </c>
      <c r="O95" s="109" t="s">
        <v>5</v>
      </c>
      <c r="P95" s="109">
        <v>1</v>
      </c>
      <c r="Q95" s="109" t="s">
        <v>9030</v>
      </c>
      <c r="R95" s="396" t="s">
        <v>3260</v>
      </c>
      <c r="S95" s="90" t="s">
        <v>16</v>
      </c>
      <c r="T95" s="446" t="s">
        <v>3867</v>
      </c>
      <c r="U95" s="208" t="s">
        <v>10139</v>
      </c>
      <c r="V95" s="208" t="s">
        <v>9215</v>
      </c>
      <c r="W95" s="208" t="s">
        <v>37</v>
      </c>
      <c r="X95" s="209">
        <v>44491</v>
      </c>
      <c r="Y95" s="208"/>
      <c r="Z95" s="364"/>
      <c r="AA95" s="1109"/>
    </row>
    <row r="96" spans="1:27" s="871" customFormat="1" ht="52.5" thickBot="1" x14ac:dyDescent="0.3">
      <c r="A96" s="1042"/>
      <c r="B96" s="346"/>
      <c r="C96" s="258"/>
      <c r="D96" s="778"/>
      <c r="E96" s="778"/>
      <c r="F96" s="146"/>
      <c r="G96" s="95"/>
      <c r="H96" s="95"/>
      <c r="I96" s="122"/>
      <c r="J96" s="89">
        <v>570</v>
      </c>
      <c r="K96" s="396" t="s">
        <v>3820</v>
      </c>
      <c r="L96" s="265">
        <v>1614901.9346</v>
      </c>
      <c r="M96" s="265">
        <v>5337806.7187000001</v>
      </c>
      <c r="N96" s="109" t="s">
        <v>3852</v>
      </c>
      <c r="O96" s="109" t="s">
        <v>5</v>
      </c>
      <c r="P96" s="109">
        <v>1</v>
      </c>
      <c r="Q96" s="109" t="s">
        <v>9029</v>
      </c>
      <c r="R96" s="396" t="s">
        <v>3260</v>
      </c>
      <c r="S96" s="90" t="s">
        <v>16</v>
      </c>
      <c r="T96" s="446" t="s">
        <v>3867</v>
      </c>
      <c r="U96" s="208" t="s">
        <v>10139</v>
      </c>
      <c r="V96" s="208" t="s">
        <v>9215</v>
      </c>
      <c r="W96" s="208" t="s">
        <v>37</v>
      </c>
      <c r="X96" s="209">
        <v>44491</v>
      </c>
      <c r="Y96" s="208"/>
      <c r="Z96" s="364"/>
      <c r="AA96" s="1109"/>
    </row>
    <row r="97" spans="1:27" s="871" customFormat="1" ht="52.5" thickBot="1" x14ac:dyDescent="0.3">
      <c r="A97" s="636"/>
      <c r="B97" s="315"/>
      <c r="C97" s="261"/>
      <c r="D97" s="581"/>
      <c r="E97" s="581"/>
      <c r="F97" s="147"/>
      <c r="G97" s="96"/>
      <c r="H97" s="96"/>
      <c r="I97" s="123"/>
      <c r="J97" s="190">
        <v>571</v>
      </c>
      <c r="K97" s="357" t="s">
        <v>3821</v>
      </c>
      <c r="L97" s="912">
        <v>1615573.7831999999</v>
      </c>
      <c r="M97" s="912">
        <v>5338348.4404999996</v>
      </c>
      <c r="N97" s="107" t="s">
        <v>3853</v>
      </c>
      <c r="O97" s="107" t="s">
        <v>5</v>
      </c>
      <c r="P97" s="107">
        <v>1</v>
      </c>
      <c r="Q97" s="107" t="s">
        <v>9028</v>
      </c>
      <c r="R97" s="357" t="s">
        <v>3260</v>
      </c>
      <c r="S97" s="100" t="s">
        <v>16</v>
      </c>
      <c r="T97" s="848" t="s">
        <v>24</v>
      </c>
      <c r="U97" s="155" t="s">
        <v>10139</v>
      </c>
      <c r="V97" s="208" t="s">
        <v>9215</v>
      </c>
      <c r="W97" s="155" t="s">
        <v>37</v>
      </c>
      <c r="X97" s="172">
        <v>44491</v>
      </c>
      <c r="Y97" s="155"/>
      <c r="Z97" s="362"/>
      <c r="AA97" s="1111"/>
    </row>
    <row r="98" spans="1:27" s="869" customFormat="1" ht="52.5" thickBot="1" x14ac:dyDescent="0.3">
      <c r="A98" s="1039" t="s">
        <v>1526</v>
      </c>
      <c r="B98" s="628" t="s">
        <v>1526</v>
      </c>
      <c r="C98" s="379">
        <v>396</v>
      </c>
      <c r="D98" s="861" t="s">
        <v>53</v>
      </c>
      <c r="E98" s="861" t="s">
        <v>57</v>
      </c>
      <c r="F98" s="83" t="s">
        <v>1440</v>
      </c>
      <c r="G98" s="268" t="s">
        <v>8004</v>
      </c>
      <c r="H98" s="588"/>
      <c r="I98" s="395"/>
      <c r="J98" s="87">
        <v>1334</v>
      </c>
      <c r="K98" s="360" t="s">
        <v>7999</v>
      </c>
      <c r="L98" s="198">
        <v>1818404.3994</v>
      </c>
      <c r="M98" s="198">
        <v>5457790.6320000002</v>
      </c>
      <c r="N98" s="199" t="s">
        <v>8000</v>
      </c>
      <c r="O98" s="199" t="s">
        <v>5</v>
      </c>
      <c r="P98" s="199">
        <v>1</v>
      </c>
      <c r="Q98" s="199" t="s">
        <v>8001</v>
      </c>
      <c r="R98" s="360" t="s">
        <v>8002</v>
      </c>
      <c r="S98" s="88" t="s">
        <v>85</v>
      </c>
      <c r="T98" s="94" t="s">
        <v>798</v>
      </c>
      <c r="U98" s="92" t="s">
        <v>8003</v>
      </c>
      <c r="V98" s="92" t="s">
        <v>1477</v>
      </c>
      <c r="W98" s="92" t="s">
        <v>1380</v>
      </c>
      <c r="X98" s="93">
        <v>44308</v>
      </c>
      <c r="Y98" s="92"/>
      <c r="Z98" s="93">
        <v>44319</v>
      </c>
      <c r="AA98" s="1108" t="s">
        <v>37</v>
      </c>
    </row>
    <row r="99" spans="1:27" s="871" customFormat="1" ht="51.75" x14ac:dyDescent="0.25">
      <c r="A99" s="635" t="s">
        <v>566</v>
      </c>
      <c r="B99" s="316" t="s">
        <v>6804</v>
      </c>
      <c r="C99" s="254">
        <v>542</v>
      </c>
      <c r="D99" s="316" t="s">
        <v>53</v>
      </c>
      <c r="E99" s="316" t="s">
        <v>52</v>
      </c>
      <c r="F99" s="255" t="s">
        <v>668</v>
      </c>
      <c r="G99" s="255" t="s">
        <v>1972</v>
      </c>
      <c r="H99" s="125" t="s">
        <v>3865</v>
      </c>
      <c r="I99" s="247" t="s">
        <v>4036</v>
      </c>
      <c r="J99" s="125">
        <v>606</v>
      </c>
      <c r="K99" s="355" t="s">
        <v>3950</v>
      </c>
      <c r="L99" s="911">
        <v>1659913.6078000001</v>
      </c>
      <c r="M99" s="911">
        <v>5349034.0625</v>
      </c>
      <c r="N99" s="126" t="s">
        <v>3971</v>
      </c>
      <c r="O99" s="126" t="s">
        <v>5</v>
      </c>
      <c r="P99" s="126">
        <v>1</v>
      </c>
      <c r="Q99" s="126" t="s">
        <v>9022</v>
      </c>
      <c r="R99" s="355" t="s">
        <v>3260</v>
      </c>
      <c r="S99" s="134" t="s">
        <v>16</v>
      </c>
      <c r="T99" s="846" t="s">
        <v>3983</v>
      </c>
      <c r="U99" s="152" t="s">
        <v>3995</v>
      </c>
      <c r="V99" s="152" t="s">
        <v>4003</v>
      </c>
      <c r="W99" s="152" t="s">
        <v>37</v>
      </c>
      <c r="X99" s="170">
        <v>44176</v>
      </c>
      <c r="Y99" s="152"/>
      <c r="Z99" s="361"/>
      <c r="AA99" s="1112"/>
    </row>
    <row r="100" spans="1:27" s="871" customFormat="1" ht="51.75" x14ac:dyDescent="0.25">
      <c r="A100" s="1042"/>
      <c r="B100" s="346"/>
      <c r="C100" s="258"/>
      <c r="D100" s="778"/>
      <c r="E100" s="778"/>
      <c r="F100" s="146"/>
      <c r="G100" s="95"/>
      <c r="H100" s="95"/>
      <c r="I100" s="122"/>
      <c r="J100" s="95">
        <v>607</v>
      </c>
      <c r="K100" s="359" t="s">
        <v>3951</v>
      </c>
      <c r="L100" s="913">
        <v>1659035.1509</v>
      </c>
      <c r="M100" s="913">
        <v>5348097.6859999998</v>
      </c>
      <c r="N100" s="108" t="s">
        <v>3972</v>
      </c>
      <c r="O100" s="108" t="s">
        <v>5</v>
      </c>
      <c r="P100" s="108">
        <v>1</v>
      </c>
      <c r="Q100" s="108" t="s">
        <v>9027</v>
      </c>
      <c r="R100" s="359" t="s">
        <v>3260</v>
      </c>
      <c r="S100" s="98" t="s">
        <v>16</v>
      </c>
      <c r="T100" s="847" t="s">
        <v>3984</v>
      </c>
      <c r="U100" s="137" t="s">
        <v>3996</v>
      </c>
      <c r="V100" s="137" t="s">
        <v>4003</v>
      </c>
      <c r="W100" s="137" t="s">
        <v>37</v>
      </c>
      <c r="X100" s="139">
        <v>44176</v>
      </c>
      <c r="Y100" s="137"/>
      <c r="Z100" s="358"/>
      <c r="AA100" s="1110"/>
    </row>
    <row r="101" spans="1:27" s="871" customFormat="1" ht="51.75" x14ac:dyDescent="0.25">
      <c r="A101" s="1042"/>
      <c r="B101" s="346"/>
      <c r="C101" s="258"/>
      <c r="D101" s="778"/>
      <c r="E101" s="778"/>
      <c r="F101" s="146"/>
      <c r="G101" s="95"/>
      <c r="H101" s="95"/>
      <c r="I101" s="122"/>
      <c r="J101" s="95">
        <v>608</v>
      </c>
      <c r="K101" s="359" t="s">
        <v>3952</v>
      </c>
      <c r="L101" s="913">
        <v>1658466.3145000001</v>
      </c>
      <c r="M101" s="913">
        <v>5347578.7555999998</v>
      </c>
      <c r="N101" s="108" t="s">
        <v>3973</v>
      </c>
      <c r="O101" s="108" t="s">
        <v>5</v>
      </c>
      <c r="P101" s="108">
        <v>1</v>
      </c>
      <c r="Q101" s="108" t="s">
        <v>9026</v>
      </c>
      <c r="R101" s="359" t="s">
        <v>3260</v>
      </c>
      <c r="S101" s="98" t="s">
        <v>16</v>
      </c>
      <c r="T101" s="847" t="s">
        <v>3983</v>
      </c>
      <c r="U101" s="137" t="s">
        <v>3997</v>
      </c>
      <c r="V101" s="137" t="s">
        <v>4003</v>
      </c>
      <c r="W101" s="137" t="s">
        <v>37</v>
      </c>
      <c r="X101" s="139">
        <v>44176</v>
      </c>
      <c r="Y101" s="137"/>
      <c r="Z101" s="358"/>
      <c r="AA101" s="1110"/>
    </row>
    <row r="102" spans="1:27" s="871" customFormat="1" ht="26.25" x14ac:dyDescent="0.25">
      <c r="A102" s="1042"/>
      <c r="B102" s="346"/>
      <c r="C102" s="258"/>
      <c r="D102" s="778"/>
      <c r="E102" s="778"/>
      <c r="F102" s="146"/>
      <c r="G102" s="95"/>
      <c r="H102" s="95"/>
      <c r="I102" s="122"/>
      <c r="J102" s="95">
        <v>609</v>
      </c>
      <c r="K102" s="359" t="s">
        <v>3953</v>
      </c>
      <c r="L102" s="913">
        <v>1658344.3219000001</v>
      </c>
      <c r="M102" s="913">
        <v>5347462.3081999999</v>
      </c>
      <c r="N102" s="506" t="s">
        <v>3974</v>
      </c>
      <c r="O102" s="108" t="s">
        <v>5</v>
      </c>
      <c r="P102" s="108">
        <v>2</v>
      </c>
      <c r="Q102" s="506" t="s">
        <v>9025</v>
      </c>
      <c r="R102" s="359" t="s">
        <v>3260</v>
      </c>
      <c r="S102" s="98" t="s">
        <v>16</v>
      </c>
      <c r="T102" s="847" t="s">
        <v>3983</v>
      </c>
      <c r="U102" s="137" t="s">
        <v>3998</v>
      </c>
      <c r="V102" s="137" t="s">
        <v>4003</v>
      </c>
      <c r="W102" s="137" t="s">
        <v>37</v>
      </c>
      <c r="X102" s="139">
        <v>44176</v>
      </c>
      <c r="Y102" s="137"/>
      <c r="Z102" s="358"/>
      <c r="AA102" s="1110"/>
    </row>
    <row r="103" spans="1:27" s="871" customFormat="1" ht="26.25" x14ac:dyDescent="0.25">
      <c r="A103" s="1042"/>
      <c r="B103" s="346"/>
      <c r="C103" s="258"/>
      <c r="D103" s="778"/>
      <c r="E103" s="778"/>
      <c r="F103" s="146"/>
      <c r="G103" s="95"/>
      <c r="H103" s="95"/>
      <c r="I103" s="122"/>
      <c r="J103" s="95">
        <v>610</v>
      </c>
      <c r="K103" s="359" t="s">
        <v>3954</v>
      </c>
      <c r="L103" s="913">
        <v>1658279.1668</v>
      </c>
      <c r="M103" s="913">
        <v>5347397.1530999998</v>
      </c>
      <c r="N103" s="506" t="s">
        <v>1418</v>
      </c>
      <c r="O103" s="108" t="s">
        <v>5</v>
      </c>
      <c r="P103" s="108">
        <v>1</v>
      </c>
      <c r="Q103" s="506" t="s">
        <v>5294</v>
      </c>
      <c r="R103" s="359" t="s">
        <v>3260</v>
      </c>
      <c r="S103" s="98" t="s">
        <v>16</v>
      </c>
      <c r="T103" s="847" t="s">
        <v>3985</v>
      </c>
      <c r="U103" s="137" t="s">
        <v>3998</v>
      </c>
      <c r="V103" s="137" t="s">
        <v>4003</v>
      </c>
      <c r="W103" s="137" t="s">
        <v>37</v>
      </c>
      <c r="X103" s="139">
        <v>44176</v>
      </c>
      <c r="Y103" s="137"/>
      <c r="Z103" s="358"/>
      <c r="AA103" s="1110"/>
    </row>
    <row r="104" spans="1:27" s="871" customFormat="1" ht="26.25" x14ac:dyDescent="0.25">
      <c r="A104" s="1042"/>
      <c r="B104" s="346"/>
      <c r="C104" s="258"/>
      <c r="D104" s="778"/>
      <c r="E104" s="778"/>
      <c r="F104" s="146"/>
      <c r="G104" s="95"/>
      <c r="H104" s="95"/>
      <c r="I104" s="122"/>
      <c r="J104" s="95">
        <v>611</v>
      </c>
      <c r="K104" s="359" t="s">
        <v>3955</v>
      </c>
      <c r="L104" s="913">
        <v>1658188.7797999999</v>
      </c>
      <c r="M104" s="913">
        <v>5347343.6785000004</v>
      </c>
      <c r="N104" s="506" t="s">
        <v>3865</v>
      </c>
      <c r="O104" s="108" t="s">
        <v>5</v>
      </c>
      <c r="P104" s="108">
        <v>1</v>
      </c>
      <c r="Q104" s="506" t="s">
        <v>9015</v>
      </c>
      <c r="R104" s="359" t="s">
        <v>3260</v>
      </c>
      <c r="S104" s="98" t="s">
        <v>16</v>
      </c>
      <c r="T104" s="847" t="s">
        <v>3986</v>
      </c>
      <c r="U104" s="137" t="s">
        <v>3998</v>
      </c>
      <c r="V104" s="137" t="s">
        <v>4003</v>
      </c>
      <c r="W104" s="137" t="s">
        <v>37</v>
      </c>
      <c r="X104" s="139">
        <v>44176</v>
      </c>
      <c r="Y104" s="137"/>
      <c r="Z104" s="358"/>
      <c r="AA104" s="1110"/>
    </row>
    <row r="105" spans="1:27" s="871" customFormat="1" ht="51.75" x14ac:dyDescent="0.25">
      <c r="A105" s="1042"/>
      <c r="B105" s="346"/>
      <c r="C105" s="258"/>
      <c r="D105" s="778"/>
      <c r="E105" s="778"/>
      <c r="F105" s="146"/>
      <c r="G105" s="95"/>
      <c r="H105" s="95"/>
      <c r="I105" s="122"/>
      <c r="J105" s="95">
        <v>612</v>
      </c>
      <c r="K105" s="359" t="s">
        <v>3956</v>
      </c>
      <c r="L105" s="913">
        <v>1657060.736</v>
      </c>
      <c r="M105" s="913">
        <v>5345965.6578000002</v>
      </c>
      <c r="N105" s="506" t="s">
        <v>3975</v>
      </c>
      <c r="O105" s="108" t="s">
        <v>5</v>
      </c>
      <c r="P105" s="108">
        <v>1</v>
      </c>
      <c r="Q105" s="506" t="s">
        <v>9024</v>
      </c>
      <c r="R105" s="359" t="s">
        <v>3260</v>
      </c>
      <c r="S105" s="98" t="s">
        <v>16</v>
      </c>
      <c r="T105" s="847" t="s">
        <v>3983</v>
      </c>
      <c r="U105" s="137" t="s">
        <v>3999</v>
      </c>
      <c r="V105" s="137" t="s">
        <v>4003</v>
      </c>
      <c r="W105" s="137" t="s">
        <v>37</v>
      </c>
      <c r="X105" s="139">
        <v>44176</v>
      </c>
      <c r="Y105" s="137"/>
      <c r="Z105" s="358"/>
      <c r="AA105" s="1110"/>
    </row>
    <row r="106" spans="1:27" s="871" customFormat="1" ht="51.75" x14ac:dyDescent="0.25">
      <c r="A106" s="1042"/>
      <c r="B106" s="346"/>
      <c r="C106" s="258"/>
      <c r="D106" s="778"/>
      <c r="E106" s="778"/>
      <c r="F106" s="146"/>
      <c r="G106" s="95"/>
      <c r="H106" s="95"/>
      <c r="I106" s="122"/>
      <c r="J106" s="95">
        <v>613</v>
      </c>
      <c r="K106" s="359" t="s">
        <v>3957</v>
      </c>
      <c r="L106" s="913">
        <v>1655024.4815</v>
      </c>
      <c r="M106" s="913">
        <v>5344140.8742000004</v>
      </c>
      <c r="N106" s="506" t="s">
        <v>3971</v>
      </c>
      <c r="O106" s="108" t="s">
        <v>5</v>
      </c>
      <c r="P106" s="108">
        <v>1</v>
      </c>
      <c r="Q106" s="506" t="s">
        <v>9022</v>
      </c>
      <c r="R106" s="359" t="s">
        <v>3260</v>
      </c>
      <c r="S106" s="98" t="s">
        <v>16</v>
      </c>
      <c r="T106" s="847" t="s">
        <v>3983</v>
      </c>
      <c r="U106" s="137" t="s">
        <v>3995</v>
      </c>
      <c r="V106" s="137" t="s">
        <v>4003</v>
      </c>
      <c r="W106" s="137" t="s">
        <v>37</v>
      </c>
      <c r="X106" s="139">
        <v>44176</v>
      </c>
      <c r="Y106" s="137"/>
      <c r="Z106" s="358"/>
      <c r="AA106" s="1110"/>
    </row>
    <row r="107" spans="1:27" s="871" customFormat="1" ht="51.75" x14ac:dyDescent="0.25">
      <c r="A107" s="1042"/>
      <c r="B107" s="346"/>
      <c r="C107" s="258"/>
      <c r="D107" s="778"/>
      <c r="E107" s="778"/>
      <c r="F107" s="146"/>
      <c r="G107" s="95"/>
      <c r="H107" s="95"/>
      <c r="I107" s="122"/>
      <c r="J107" s="95">
        <v>614</v>
      </c>
      <c r="K107" s="359" t="s">
        <v>3958</v>
      </c>
      <c r="L107" s="913">
        <v>1649446.6884999999</v>
      </c>
      <c r="M107" s="913">
        <v>5340478.7040999997</v>
      </c>
      <c r="N107" s="506" t="s">
        <v>3971</v>
      </c>
      <c r="O107" s="108" t="s">
        <v>5</v>
      </c>
      <c r="P107" s="108">
        <v>1</v>
      </c>
      <c r="Q107" s="506" t="s">
        <v>9022</v>
      </c>
      <c r="R107" s="359" t="s">
        <v>3260</v>
      </c>
      <c r="S107" s="98" t="s">
        <v>16</v>
      </c>
      <c r="T107" s="847" t="s">
        <v>3987</v>
      </c>
      <c r="U107" s="137" t="s">
        <v>3995</v>
      </c>
      <c r="V107" s="137" t="s">
        <v>4003</v>
      </c>
      <c r="W107" s="137" t="s">
        <v>37</v>
      </c>
      <c r="X107" s="139">
        <v>44176</v>
      </c>
      <c r="Y107" s="137"/>
      <c r="Z107" s="358"/>
      <c r="AA107" s="1110"/>
    </row>
    <row r="108" spans="1:27" s="871" customFormat="1" ht="51.75" x14ac:dyDescent="0.25">
      <c r="A108" s="1042"/>
      <c r="B108" s="346"/>
      <c r="C108" s="258"/>
      <c r="D108" s="778"/>
      <c r="E108" s="778"/>
      <c r="F108" s="146"/>
      <c r="G108" s="95"/>
      <c r="H108" s="95"/>
      <c r="I108" s="122"/>
      <c r="J108" s="95">
        <v>615</v>
      </c>
      <c r="K108" s="359" t="s">
        <v>3959</v>
      </c>
      <c r="L108" s="913">
        <v>1649492.7392</v>
      </c>
      <c r="M108" s="913">
        <v>5340500.3339999998</v>
      </c>
      <c r="N108" s="506" t="s">
        <v>3865</v>
      </c>
      <c r="O108" s="108" t="s">
        <v>5</v>
      </c>
      <c r="P108" s="108">
        <v>1</v>
      </c>
      <c r="Q108" s="506" t="s">
        <v>9015</v>
      </c>
      <c r="R108" s="359" t="s">
        <v>3260</v>
      </c>
      <c r="S108" s="98" t="s">
        <v>16</v>
      </c>
      <c r="T108" s="847" t="s">
        <v>3988</v>
      </c>
      <c r="U108" s="137" t="s">
        <v>3999</v>
      </c>
      <c r="V108" s="137" t="s">
        <v>4003</v>
      </c>
      <c r="W108" s="137" t="s">
        <v>37</v>
      </c>
      <c r="X108" s="139">
        <v>44176</v>
      </c>
      <c r="Y108" s="137"/>
      <c r="Z108" s="358"/>
      <c r="AA108" s="1110"/>
    </row>
    <row r="109" spans="1:27" s="871" customFormat="1" ht="26.25" x14ac:dyDescent="0.25">
      <c r="A109" s="1042"/>
      <c r="B109" s="346"/>
      <c r="C109" s="258"/>
      <c r="D109" s="778"/>
      <c r="E109" s="778"/>
      <c r="F109" s="146"/>
      <c r="G109" s="95"/>
      <c r="H109" s="95"/>
      <c r="I109" s="122"/>
      <c r="J109" s="95">
        <v>616</v>
      </c>
      <c r="K109" s="359" t="s">
        <v>3960</v>
      </c>
      <c r="L109" s="913">
        <v>1649137.5911000001</v>
      </c>
      <c r="M109" s="913">
        <v>5340263.8010999998</v>
      </c>
      <c r="N109" s="506" t="s">
        <v>3976</v>
      </c>
      <c r="O109" s="108" t="s">
        <v>5</v>
      </c>
      <c r="P109" s="108">
        <v>1</v>
      </c>
      <c r="Q109" s="506" t="s">
        <v>5034</v>
      </c>
      <c r="R109" s="359" t="s">
        <v>3260</v>
      </c>
      <c r="S109" s="98" t="s">
        <v>16</v>
      </c>
      <c r="T109" s="847" t="s">
        <v>58</v>
      </c>
      <c r="U109" s="137" t="s">
        <v>3998</v>
      </c>
      <c r="V109" s="137" t="s">
        <v>4003</v>
      </c>
      <c r="W109" s="137" t="s">
        <v>37</v>
      </c>
      <c r="X109" s="139">
        <v>44176</v>
      </c>
      <c r="Y109" s="137"/>
      <c r="Z109" s="358"/>
      <c r="AA109" s="1110"/>
    </row>
    <row r="110" spans="1:27" s="871" customFormat="1" ht="26.25" x14ac:dyDescent="0.25">
      <c r="A110" s="1042"/>
      <c r="B110" s="346"/>
      <c r="C110" s="258"/>
      <c r="D110" s="778"/>
      <c r="E110" s="778"/>
      <c r="F110" s="146"/>
      <c r="G110" s="95"/>
      <c r="H110" s="95"/>
      <c r="I110" s="122"/>
      <c r="J110" s="95">
        <v>617</v>
      </c>
      <c r="K110" s="359" t="s">
        <v>3961</v>
      </c>
      <c r="L110" s="913">
        <v>1643210.8583</v>
      </c>
      <c r="M110" s="913">
        <v>5336257.3520999998</v>
      </c>
      <c r="N110" s="506" t="s">
        <v>3977</v>
      </c>
      <c r="O110" s="108" t="s">
        <v>5</v>
      </c>
      <c r="P110" s="108">
        <v>2</v>
      </c>
      <c r="Q110" s="506" t="s">
        <v>9019</v>
      </c>
      <c r="R110" s="359" t="s">
        <v>3260</v>
      </c>
      <c r="S110" s="98" t="s">
        <v>16</v>
      </c>
      <c r="T110" s="847" t="s">
        <v>3989</v>
      </c>
      <c r="U110" s="137" t="s">
        <v>3998</v>
      </c>
      <c r="V110" s="137" t="s">
        <v>4003</v>
      </c>
      <c r="W110" s="137" t="s">
        <v>37</v>
      </c>
      <c r="X110" s="139">
        <v>44176</v>
      </c>
      <c r="Y110" s="137"/>
      <c r="Z110" s="358"/>
      <c r="AA110" s="1110"/>
    </row>
    <row r="111" spans="1:27" s="871" customFormat="1" ht="51.75" x14ac:dyDescent="0.25">
      <c r="A111" s="1042"/>
      <c r="B111" s="346"/>
      <c r="C111" s="258"/>
      <c r="D111" s="778"/>
      <c r="E111" s="778"/>
      <c r="F111" s="146"/>
      <c r="G111" s="95"/>
      <c r="H111" s="95"/>
      <c r="I111" s="122"/>
      <c r="J111" s="95">
        <v>618</v>
      </c>
      <c r="K111" s="359" t="s">
        <v>3962</v>
      </c>
      <c r="L111" s="913">
        <v>1643021.9173000001</v>
      </c>
      <c r="M111" s="913">
        <v>5336141.4471000005</v>
      </c>
      <c r="N111" s="506" t="s">
        <v>3978</v>
      </c>
      <c r="O111" s="108" t="s">
        <v>5</v>
      </c>
      <c r="P111" s="108">
        <v>2</v>
      </c>
      <c r="Q111" s="506" t="s">
        <v>9023</v>
      </c>
      <c r="R111" s="359" t="s">
        <v>3260</v>
      </c>
      <c r="S111" s="98" t="s">
        <v>16</v>
      </c>
      <c r="T111" s="847" t="s">
        <v>3989</v>
      </c>
      <c r="U111" s="137" t="s">
        <v>4000</v>
      </c>
      <c r="V111" s="137" t="s">
        <v>4003</v>
      </c>
      <c r="W111" s="137" t="s">
        <v>37</v>
      </c>
      <c r="X111" s="139">
        <v>44176</v>
      </c>
      <c r="Y111" s="137"/>
      <c r="Z111" s="358"/>
      <c r="AA111" s="1110"/>
    </row>
    <row r="112" spans="1:27" s="871" customFormat="1" ht="26.25" x14ac:dyDescent="0.25">
      <c r="A112" s="1042"/>
      <c r="B112" s="346"/>
      <c r="C112" s="258"/>
      <c r="D112" s="778"/>
      <c r="E112" s="778"/>
      <c r="F112" s="146"/>
      <c r="G112" s="95"/>
      <c r="H112" s="95"/>
      <c r="I112" s="122"/>
      <c r="J112" s="95">
        <v>619</v>
      </c>
      <c r="K112" s="359" t="s">
        <v>3963</v>
      </c>
      <c r="L112" s="913">
        <v>1642909.1878</v>
      </c>
      <c r="M112" s="913">
        <v>5336104.1353000002</v>
      </c>
      <c r="N112" s="506" t="s">
        <v>3971</v>
      </c>
      <c r="O112" s="108" t="s">
        <v>5</v>
      </c>
      <c r="P112" s="108">
        <v>1</v>
      </c>
      <c r="Q112" s="506" t="s">
        <v>9022</v>
      </c>
      <c r="R112" s="359" t="s">
        <v>3260</v>
      </c>
      <c r="S112" s="98" t="s">
        <v>16</v>
      </c>
      <c r="T112" s="847" t="s">
        <v>3990</v>
      </c>
      <c r="U112" s="137" t="s">
        <v>3998</v>
      </c>
      <c r="V112" s="137" t="s">
        <v>4003</v>
      </c>
      <c r="W112" s="137" t="s">
        <v>37</v>
      </c>
      <c r="X112" s="139">
        <v>44176</v>
      </c>
      <c r="Y112" s="137"/>
      <c r="Z112" s="358"/>
      <c r="AA112" s="1110"/>
    </row>
    <row r="113" spans="1:27" s="871" customFormat="1" ht="51.75" x14ac:dyDescent="0.25">
      <c r="A113" s="1042"/>
      <c r="B113" s="346"/>
      <c r="C113" s="258"/>
      <c r="D113" s="778"/>
      <c r="E113" s="778"/>
      <c r="F113" s="146"/>
      <c r="G113" s="95"/>
      <c r="H113" s="95"/>
      <c r="I113" s="122"/>
      <c r="J113" s="95">
        <v>620</v>
      </c>
      <c r="K113" s="359" t="s">
        <v>3964</v>
      </c>
      <c r="L113" s="913">
        <v>1642690.8737000001</v>
      </c>
      <c r="M113" s="913">
        <v>5335927.8962000003</v>
      </c>
      <c r="N113" s="506" t="s">
        <v>3979</v>
      </c>
      <c r="O113" s="108" t="s">
        <v>5</v>
      </c>
      <c r="P113" s="108">
        <v>2</v>
      </c>
      <c r="Q113" s="506" t="s">
        <v>9017</v>
      </c>
      <c r="R113" s="359" t="s">
        <v>3260</v>
      </c>
      <c r="S113" s="98" t="s">
        <v>16</v>
      </c>
      <c r="T113" s="847" t="s">
        <v>3989</v>
      </c>
      <c r="U113" s="137" t="s">
        <v>4001</v>
      </c>
      <c r="V113" s="137" t="s">
        <v>4003</v>
      </c>
      <c r="W113" s="137" t="s">
        <v>37</v>
      </c>
      <c r="X113" s="139">
        <v>44176</v>
      </c>
      <c r="Y113" s="137"/>
      <c r="Z113" s="358"/>
      <c r="AA113" s="1110"/>
    </row>
    <row r="114" spans="1:27" s="871" customFormat="1" ht="26.25" x14ac:dyDescent="0.25">
      <c r="A114" s="1042"/>
      <c r="B114" s="346"/>
      <c r="C114" s="258"/>
      <c r="D114" s="778"/>
      <c r="E114" s="778"/>
      <c r="F114" s="146"/>
      <c r="G114" s="95"/>
      <c r="H114" s="95"/>
      <c r="I114" s="122"/>
      <c r="J114" s="95">
        <v>621</v>
      </c>
      <c r="K114" s="359" t="s">
        <v>3965</v>
      </c>
      <c r="L114" s="913">
        <v>1642465.4147000001</v>
      </c>
      <c r="M114" s="913">
        <v>5335854.0663000001</v>
      </c>
      <c r="N114" s="506" t="s">
        <v>3980</v>
      </c>
      <c r="O114" s="108" t="s">
        <v>5</v>
      </c>
      <c r="P114" s="108">
        <v>1</v>
      </c>
      <c r="Q114" s="506" t="s">
        <v>9021</v>
      </c>
      <c r="R114" s="359" t="s">
        <v>3260</v>
      </c>
      <c r="S114" s="98" t="s">
        <v>16</v>
      </c>
      <c r="T114" s="847" t="s">
        <v>3991</v>
      </c>
      <c r="U114" s="137" t="s">
        <v>3998</v>
      </c>
      <c r="V114" s="137" t="s">
        <v>4003</v>
      </c>
      <c r="W114" s="137" t="s">
        <v>37</v>
      </c>
      <c r="X114" s="139">
        <v>44176</v>
      </c>
      <c r="Y114" s="137"/>
      <c r="Z114" s="358"/>
      <c r="AA114" s="1110"/>
    </row>
    <row r="115" spans="1:27" s="871" customFormat="1" ht="51.75" x14ac:dyDescent="0.25">
      <c r="A115" s="1042"/>
      <c r="B115" s="346"/>
      <c r="C115" s="258"/>
      <c r="D115" s="778"/>
      <c r="E115" s="778"/>
      <c r="F115" s="146"/>
      <c r="G115" s="95"/>
      <c r="H115" s="95"/>
      <c r="I115" s="122"/>
      <c r="J115" s="95">
        <v>622</v>
      </c>
      <c r="K115" s="359" t="s">
        <v>3966</v>
      </c>
      <c r="L115" s="913">
        <v>1641988.2990999999</v>
      </c>
      <c r="M115" s="913">
        <v>5335574.6242000004</v>
      </c>
      <c r="N115" s="506" t="s">
        <v>3981</v>
      </c>
      <c r="O115" s="108" t="s">
        <v>5</v>
      </c>
      <c r="P115" s="108">
        <v>1</v>
      </c>
      <c r="Q115" s="506" t="s">
        <v>9020</v>
      </c>
      <c r="R115" s="359" t="s">
        <v>3260</v>
      </c>
      <c r="S115" s="98" t="s">
        <v>16</v>
      </c>
      <c r="T115" s="847" t="s">
        <v>3992</v>
      </c>
      <c r="U115" s="137" t="s">
        <v>4002</v>
      </c>
      <c r="V115" s="137" t="s">
        <v>4003</v>
      </c>
      <c r="W115" s="137" t="s">
        <v>37</v>
      </c>
      <c r="X115" s="139">
        <v>44176</v>
      </c>
      <c r="Y115" s="137"/>
      <c r="Z115" s="358"/>
      <c r="AA115" s="1110"/>
    </row>
    <row r="116" spans="1:27" s="871" customFormat="1" ht="26.25" x14ac:dyDescent="0.25">
      <c r="A116" s="1042"/>
      <c r="B116" s="346"/>
      <c r="C116" s="258"/>
      <c r="D116" s="778"/>
      <c r="E116" s="778"/>
      <c r="F116" s="146"/>
      <c r="G116" s="95"/>
      <c r="H116" s="95"/>
      <c r="I116" s="122"/>
      <c r="J116" s="95">
        <v>623</v>
      </c>
      <c r="K116" s="359" t="s">
        <v>3967</v>
      </c>
      <c r="L116" s="913">
        <v>1641789.8317</v>
      </c>
      <c r="M116" s="913">
        <v>5335503.9698000001</v>
      </c>
      <c r="N116" s="506" t="s">
        <v>3977</v>
      </c>
      <c r="O116" s="108" t="s">
        <v>5</v>
      </c>
      <c r="P116" s="108">
        <v>2</v>
      </c>
      <c r="Q116" s="506" t="s">
        <v>9019</v>
      </c>
      <c r="R116" s="359" t="s">
        <v>3260</v>
      </c>
      <c r="S116" s="98" t="s">
        <v>16</v>
      </c>
      <c r="T116" s="847" t="s">
        <v>3989</v>
      </c>
      <c r="U116" s="137" t="s">
        <v>3998</v>
      </c>
      <c r="V116" s="137" t="s">
        <v>4003</v>
      </c>
      <c r="W116" s="137" t="s">
        <v>37</v>
      </c>
      <c r="X116" s="139">
        <v>44176</v>
      </c>
      <c r="Y116" s="137"/>
      <c r="Z116" s="358"/>
      <c r="AA116" s="1110"/>
    </row>
    <row r="117" spans="1:27" s="871" customFormat="1" ht="26.25" x14ac:dyDescent="0.25">
      <c r="A117" s="1042"/>
      <c r="B117" s="346"/>
      <c r="C117" s="258"/>
      <c r="D117" s="778"/>
      <c r="E117" s="778"/>
      <c r="F117" s="146"/>
      <c r="G117" s="95"/>
      <c r="H117" s="95"/>
      <c r="I117" s="122"/>
      <c r="J117" s="95">
        <v>624</v>
      </c>
      <c r="K117" s="359" t="s">
        <v>3968</v>
      </c>
      <c r="L117" s="913">
        <v>1641083.2877</v>
      </c>
      <c r="M117" s="913">
        <v>5335080.0434999997</v>
      </c>
      <c r="N117" s="506" t="s">
        <v>1457</v>
      </c>
      <c r="O117" s="108" t="s">
        <v>5</v>
      </c>
      <c r="P117" s="108">
        <v>1</v>
      </c>
      <c r="Q117" s="506" t="s">
        <v>9018</v>
      </c>
      <c r="R117" s="359" t="s">
        <v>3260</v>
      </c>
      <c r="S117" s="98" t="s">
        <v>16</v>
      </c>
      <c r="T117" s="847" t="s">
        <v>3991</v>
      </c>
      <c r="U117" s="137" t="s">
        <v>3998</v>
      </c>
      <c r="V117" s="137" t="s">
        <v>4003</v>
      </c>
      <c r="W117" s="137" t="s">
        <v>37</v>
      </c>
      <c r="X117" s="139">
        <v>44176</v>
      </c>
      <c r="Y117" s="137"/>
      <c r="Z117" s="358"/>
      <c r="AA117" s="1110"/>
    </row>
    <row r="118" spans="1:27" s="871" customFormat="1" ht="51.75" x14ac:dyDescent="0.25">
      <c r="A118" s="1042"/>
      <c r="B118" s="346"/>
      <c r="C118" s="258"/>
      <c r="D118" s="778"/>
      <c r="E118" s="778"/>
      <c r="F118" s="146"/>
      <c r="G118" s="95"/>
      <c r="H118" s="95"/>
      <c r="I118" s="122"/>
      <c r="J118" s="95">
        <v>625</v>
      </c>
      <c r="K118" s="359" t="s">
        <v>3969</v>
      </c>
      <c r="L118" s="913">
        <v>1638380.9556</v>
      </c>
      <c r="M118" s="913">
        <v>5333211.2744000005</v>
      </c>
      <c r="N118" s="506" t="s">
        <v>3979</v>
      </c>
      <c r="O118" s="108" t="s">
        <v>5</v>
      </c>
      <c r="P118" s="108">
        <v>1</v>
      </c>
      <c r="Q118" s="506" t="s">
        <v>9017</v>
      </c>
      <c r="R118" s="359" t="s">
        <v>3260</v>
      </c>
      <c r="S118" s="98" t="s">
        <v>16</v>
      </c>
      <c r="T118" s="847" t="s">
        <v>3993</v>
      </c>
      <c r="U118" s="137" t="s">
        <v>4001</v>
      </c>
      <c r="V118" s="137" t="s">
        <v>4003</v>
      </c>
      <c r="W118" s="137" t="s">
        <v>37</v>
      </c>
      <c r="X118" s="139">
        <v>44176</v>
      </c>
      <c r="Y118" s="137"/>
      <c r="Z118" s="358"/>
      <c r="AA118" s="1110"/>
    </row>
    <row r="119" spans="1:27" s="871" customFormat="1" ht="27" thickBot="1" x14ac:dyDescent="0.3">
      <c r="A119" s="1042"/>
      <c r="B119" s="346"/>
      <c r="C119" s="258"/>
      <c r="D119" s="778"/>
      <c r="E119" s="778"/>
      <c r="F119" s="146"/>
      <c r="G119" s="95"/>
      <c r="H119" s="95"/>
      <c r="I119" s="122"/>
      <c r="J119" s="96">
        <v>626</v>
      </c>
      <c r="K119" s="357" t="s">
        <v>3970</v>
      </c>
      <c r="L119" s="912">
        <v>1637440.4184999999</v>
      </c>
      <c r="M119" s="912">
        <v>5332726.0712000001</v>
      </c>
      <c r="N119" s="812" t="s">
        <v>3982</v>
      </c>
      <c r="O119" s="107" t="s">
        <v>5</v>
      </c>
      <c r="P119" s="107">
        <v>1</v>
      </c>
      <c r="Q119" s="812" t="s">
        <v>9016</v>
      </c>
      <c r="R119" s="357" t="s">
        <v>3260</v>
      </c>
      <c r="S119" s="100" t="s">
        <v>16</v>
      </c>
      <c r="T119" s="848" t="s">
        <v>3994</v>
      </c>
      <c r="U119" s="155" t="s">
        <v>3998</v>
      </c>
      <c r="V119" s="155" t="s">
        <v>4003</v>
      </c>
      <c r="W119" s="155" t="s">
        <v>37</v>
      </c>
      <c r="X119" s="172">
        <v>44176</v>
      </c>
      <c r="Y119" s="155"/>
      <c r="Z119" s="362"/>
      <c r="AA119" s="1111"/>
    </row>
    <row r="120" spans="1:27" s="871" customFormat="1" ht="27" thickBot="1" x14ac:dyDescent="0.3">
      <c r="A120" s="636"/>
      <c r="B120" s="315"/>
      <c r="C120" s="261"/>
      <c r="D120" s="581"/>
      <c r="E120" s="581"/>
      <c r="F120" s="147"/>
      <c r="G120" s="96"/>
      <c r="H120" s="96"/>
      <c r="I120" s="123"/>
      <c r="J120" s="84"/>
      <c r="K120" s="396" t="s">
        <v>4035</v>
      </c>
      <c r="L120" s="265"/>
      <c r="M120" s="265"/>
      <c r="N120" s="109" t="s">
        <v>3865</v>
      </c>
      <c r="O120" s="109" t="s">
        <v>5</v>
      </c>
      <c r="P120" s="109">
        <v>21</v>
      </c>
      <c r="Q120" s="109" t="s">
        <v>9015</v>
      </c>
      <c r="R120" s="396" t="s">
        <v>3260</v>
      </c>
      <c r="S120" s="90" t="s">
        <v>16</v>
      </c>
      <c r="T120" s="446"/>
      <c r="U120" s="208" t="s">
        <v>4037</v>
      </c>
      <c r="V120" s="208" t="s">
        <v>4003</v>
      </c>
      <c r="W120" s="208" t="s">
        <v>37</v>
      </c>
      <c r="X120" s="209">
        <v>44176</v>
      </c>
      <c r="Y120" s="208"/>
      <c r="Z120" s="364"/>
      <c r="AA120" s="1109"/>
    </row>
    <row r="121" spans="1:27" s="871" customFormat="1" ht="65.25" thickBot="1" x14ac:dyDescent="0.3">
      <c r="A121" s="1040" t="s">
        <v>7721</v>
      </c>
      <c r="B121" s="590" t="s">
        <v>7723</v>
      </c>
      <c r="C121" s="250">
        <v>561</v>
      </c>
      <c r="D121" s="994" t="s">
        <v>57</v>
      </c>
      <c r="E121" s="994" t="s">
        <v>53</v>
      </c>
      <c r="F121" s="385" t="s">
        <v>567</v>
      </c>
      <c r="G121" s="385" t="s">
        <v>4996</v>
      </c>
      <c r="H121" s="210"/>
      <c r="I121" s="637"/>
      <c r="J121" s="263">
        <v>5505</v>
      </c>
      <c r="K121" s="467" t="s">
        <v>9128</v>
      </c>
      <c r="L121" s="918">
        <v>1709276.5404000001</v>
      </c>
      <c r="M121" s="918">
        <v>5408470.9590999996</v>
      </c>
      <c r="N121" s="264" t="s">
        <v>9132</v>
      </c>
      <c r="O121" s="264" t="s">
        <v>194</v>
      </c>
      <c r="P121" s="264">
        <v>19</v>
      </c>
      <c r="Q121" s="264" t="s">
        <v>9133</v>
      </c>
      <c r="R121" s="467" t="s">
        <v>9135</v>
      </c>
      <c r="S121" s="400" t="s">
        <v>16</v>
      </c>
      <c r="T121" s="446" t="s">
        <v>6013</v>
      </c>
      <c r="U121" s="208" t="s">
        <v>9136</v>
      </c>
      <c r="V121" s="208" t="s">
        <v>7720</v>
      </c>
      <c r="W121" s="208" t="s">
        <v>37</v>
      </c>
      <c r="X121" s="209">
        <v>44412</v>
      </c>
      <c r="Y121" s="208"/>
      <c r="Z121" s="364"/>
      <c r="AA121" s="1109"/>
    </row>
    <row r="122" spans="1:27" ht="26.25" x14ac:dyDescent="0.25">
      <c r="A122" s="341" t="s">
        <v>9438</v>
      </c>
      <c r="B122" s="181" t="s">
        <v>6820</v>
      </c>
      <c r="C122" s="125">
        <v>624</v>
      </c>
      <c r="D122" s="585" t="s">
        <v>52</v>
      </c>
      <c r="E122" s="585"/>
      <c r="F122" s="125" t="s">
        <v>1131</v>
      </c>
      <c r="G122" s="125" t="s">
        <v>1263</v>
      </c>
      <c r="H122" s="585"/>
      <c r="I122" s="879"/>
      <c r="J122" s="189">
        <v>5523</v>
      </c>
      <c r="K122" s="355" t="s">
        <v>9439</v>
      </c>
      <c r="L122" s="125">
        <v>1622850</v>
      </c>
      <c r="M122" s="125">
        <v>5300810</v>
      </c>
      <c r="N122" s="1007" t="s">
        <v>9440</v>
      </c>
      <c r="O122" s="255" t="s">
        <v>61</v>
      </c>
      <c r="P122" s="126" t="s">
        <v>419</v>
      </c>
      <c r="Q122" s="126" t="s">
        <v>9903</v>
      </c>
      <c r="R122" s="126" t="s">
        <v>4329</v>
      </c>
      <c r="S122" s="1008" t="s">
        <v>16</v>
      </c>
      <c r="T122" s="1006" t="s">
        <v>10079</v>
      </c>
      <c r="U122" s="40" t="s">
        <v>9441</v>
      </c>
      <c r="V122" s="40" t="s">
        <v>9442</v>
      </c>
      <c r="W122" s="40" t="s">
        <v>37</v>
      </c>
      <c r="X122" s="41">
        <v>44420</v>
      </c>
      <c r="Y122" s="1150"/>
      <c r="Z122" s="1157"/>
      <c r="AA122" s="1154"/>
    </row>
    <row r="123" spans="1:27" ht="26.25" x14ac:dyDescent="0.25">
      <c r="A123" s="339"/>
      <c r="B123" s="338"/>
      <c r="C123" s="277"/>
      <c r="D123" s="565"/>
      <c r="E123" s="565"/>
      <c r="F123" s="277"/>
      <c r="G123" s="277"/>
      <c r="H123" s="565"/>
      <c r="I123" s="880"/>
      <c r="J123" s="191">
        <v>5524</v>
      </c>
      <c r="K123" s="359" t="s">
        <v>9443</v>
      </c>
      <c r="L123" s="95">
        <v>1623010</v>
      </c>
      <c r="M123" s="95">
        <v>5300940</v>
      </c>
      <c r="N123" s="108" t="s">
        <v>9444</v>
      </c>
      <c r="O123" s="259" t="s">
        <v>61</v>
      </c>
      <c r="P123" s="108" t="s">
        <v>419</v>
      </c>
      <c r="Q123" s="108" t="s">
        <v>9905</v>
      </c>
      <c r="R123" s="108" t="s">
        <v>4329</v>
      </c>
      <c r="S123" s="1009" t="s">
        <v>16</v>
      </c>
      <c r="T123" s="992" t="s">
        <v>604</v>
      </c>
      <c r="U123" s="46" t="s">
        <v>9441</v>
      </c>
      <c r="V123" s="46" t="s">
        <v>9442</v>
      </c>
      <c r="W123" s="46" t="s">
        <v>37</v>
      </c>
      <c r="X123" s="47">
        <v>44420</v>
      </c>
      <c r="Y123" s="1151"/>
      <c r="Z123" s="894"/>
      <c r="AA123" s="1155"/>
    </row>
    <row r="124" spans="1:27" ht="26.25" x14ac:dyDescent="0.25">
      <c r="A124" s="339"/>
      <c r="B124" s="338"/>
      <c r="C124" s="277"/>
      <c r="D124" s="565"/>
      <c r="E124" s="565"/>
      <c r="F124" s="277"/>
      <c r="G124" s="277"/>
      <c r="H124" s="565"/>
      <c r="I124" s="880"/>
      <c r="J124" s="191">
        <v>5525</v>
      </c>
      <c r="K124" s="359" t="s">
        <v>9445</v>
      </c>
      <c r="L124" s="95">
        <v>1622920</v>
      </c>
      <c r="M124" s="95">
        <v>5300880</v>
      </c>
      <c r="N124" s="108" t="s">
        <v>9446</v>
      </c>
      <c r="O124" s="259" t="s">
        <v>61</v>
      </c>
      <c r="P124" s="108" t="s">
        <v>419</v>
      </c>
      <c r="Q124" s="108" t="s">
        <v>9906</v>
      </c>
      <c r="R124" s="108" t="s">
        <v>4329</v>
      </c>
      <c r="S124" s="1009" t="s">
        <v>16</v>
      </c>
      <c r="T124" s="992" t="s">
        <v>604</v>
      </c>
      <c r="U124" s="46" t="s">
        <v>9441</v>
      </c>
      <c r="V124" s="46" t="s">
        <v>9442</v>
      </c>
      <c r="W124" s="46" t="s">
        <v>37</v>
      </c>
      <c r="X124" s="47">
        <v>44420</v>
      </c>
      <c r="Y124" s="1151"/>
      <c r="Z124" s="894"/>
      <c r="AA124" s="1155"/>
    </row>
    <row r="125" spans="1:27" ht="26.25" x14ac:dyDescent="0.25">
      <c r="A125" s="339"/>
      <c r="B125" s="338"/>
      <c r="C125" s="277"/>
      <c r="D125" s="565"/>
      <c r="E125" s="565"/>
      <c r="F125" s="277"/>
      <c r="G125" s="277"/>
      <c r="H125" s="565"/>
      <c r="I125" s="880"/>
      <c r="J125" s="191">
        <v>5526</v>
      </c>
      <c r="K125" s="359" t="s">
        <v>9447</v>
      </c>
      <c r="L125" s="95">
        <v>1622820</v>
      </c>
      <c r="M125" s="95">
        <v>5300780</v>
      </c>
      <c r="N125" s="1010" t="s">
        <v>9448</v>
      </c>
      <c r="O125" s="259" t="s">
        <v>61</v>
      </c>
      <c r="P125" s="108" t="s">
        <v>419</v>
      </c>
      <c r="Q125" s="108" t="s">
        <v>9904</v>
      </c>
      <c r="R125" s="108" t="s">
        <v>4329</v>
      </c>
      <c r="S125" s="1009" t="s">
        <v>16</v>
      </c>
      <c r="T125" s="992" t="s">
        <v>10079</v>
      </c>
      <c r="U125" s="46" t="s">
        <v>9441</v>
      </c>
      <c r="V125" s="46" t="s">
        <v>9442</v>
      </c>
      <c r="W125" s="46" t="s">
        <v>37</v>
      </c>
      <c r="X125" s="47">
        <v>44420</v>
      </c>
      <c r="Y125" s="1151"/>
      <c r="Z125" s="894"/>
      <c r="AA125" s="1155"/>
    </row>
    <row r="126" spans="1:27" ht="26.25" x14ac:dyDescent="0.25">
      <c r="A126" s="339"/>
      <c r="B126" s="338"/>
      <c r="C126" s="277"/>
      <c r="D126" s="565"/>
      <c r="E126" s="565"/>
      <c r="F126" s="277"/>
      <c r="G126" s="277"/>
      <c r="H126" s="565"/>
      <c r="I126" s="880"/>
      <c r="J126" s="191">
        <v>5527</v>
      </c>
      <c r="K126" s="359" t="s">
        <v>9449</v>
      </c>
      <c r="L126" s="95">
        <v>1622950</v>
      </c>
      <c r="M126" s="95">
        <v>5300340</v>
      </c>
      <c r="N126" s="108" t="s">
        <v>9450</v>
      </c>
      <c r="O126" s="259" t="s">
        <v>61</v>
      </c>
      <c r="P126" s="108" t="s">
        <v>419</v>
      </c>
      <c r="Q126" s="108" t="s">
        <v>2683</v>
      </c>
      <c r="R126" s="108" t="s">
        <v>4329</v>
      </c>
      <c r="S126" s="1009" t="s">
        <v>16</v>
      </c>
      <c r="T126" s="992" t="s">
        <v>604</v>
      </c>
      <c r="U126" s="46" t="s">
        <v>9441</v>
      </c>
      <c r="V126" s="46" t="s">
        <v>9442</v>
      </c>
      <c r="W126" s="46" t="s">
        <v>37</v>
      </c>
      <c r="X126" s="47">
        <v>44420</v>
      </c>
      <c r="Y126" s="1151"/>
      <c r="Z126" s="894"/>
      <c r="AA126" s="1155"/>
    </row>
    <row r="127" spans="1:27" ht="26.25" x14ac:dyDescent="0.25">
      <c r="A127" s="339"/>
      <c r="B127" s="338"/>
      <c r="C127" s="277"/>
      <c r="D127" s="565"/>
      <c r="E127" s="565"/>
      <c r="F127" s="277"/>
      <c r="G127" s="277"/>
      <c r="H127" s="565"/>
      <c r="I127" s="880"/>
      <c r="J127" s="191">
        <v>5528</v>
      </c>
      <c r="K127" s="359" t="s">
        <v>9451</v>
      </c>
      <c r="L127" s="95">
        <v>1622890</v>
      </c>
      <c r="M127" s="95">
        <v>5300240</v>
      </c>
      <c r="N127" s="1010" t="s">
        <v>9452</v>
      </c>
      <c r="O127" s="259" t="s">
        <v>61</v>
      </c>
      <c r="P127" s="108" t="s">
        <v>419</v>
      </c>
      <c r="Q127" s="108" t="s">
        <v>5587</v>
      </c>
      <c r="R127" s="108" t="s">
        <v>4329</v>
      </c>
      <c r="S127" s="1009" t="s">
        <v>16</v>
      </c>
      <c r="T127" s="992" t="s">
        <v>604</v>
      </c>
      <c r="U127" s="46" t="s">
        <v>9441</v>
      </c>
      <c r="V127" s="46" t="s">
        <v>9442</v>
      </c>
      <c r="W127" s="46" t="s">
        <v>37</v>
      </c>
      <c r="X127" s="47">
        <v>44420</v>
      </c>
      <c r="Y127" s="1151"/>
      <c r="Z127" s="894"/>
      <c r="AA127" s="1155"/>
    </row>
    <row r="128" spans="1:27" ht="26.25" x14ac:dyDescent="0.25">
      <c r="A128" s="339"/>
      <c r="B128" s="338"/>
      <c r="C128" s="277"/>
      <c r="D128" s="565"/>
      <c r="E128" s="565"/>
      <c r="F128" s="277"/>
      <c r="G128" s="277"/>
      <c r="H128" s="565"/>
      <c r="I128" s="880"/>
      <c r="J128" s="191">
        <v>5529</v>
      </c>
      <c r="K128" s="359" t="s">
        <v>9453</v>
      </c>
      <c r="L128" s="95">
        <v>1622740</v>
      </c>
      <c r="M128" s="95">
        <v>5300020</v>
      </c>
      <c r="N128" s="1010" t="s">
        <v>9454</v>
      </c>
      <c r="O128" s="259" t="s">
        <v>61</v>
      </c>
      <c r="P128" s="108" t="s">
        <v>419</v>
      </c>
      <c r="Q128" s="108" t="s">
        <v>8966</v>
      </c>
      <c r="R128" s="108" t="s">
        <v>4329</v>
      </c>
      <c r="S128" s="1009" t="s">
        <v>16</v>
      </c>
      <c r="T128" s="992" t="s">
        <v>4131</v>
      </c>
      <c r="U128" s="46" t="s">
        <v>9455</v>
      </c>
      <c r="V128" s="46" t="s">
        <v>9442</v>
      </c>
      <c r="W128" s="46" t="s">
        <v>37</v>
      </c>
      <c r="X128" s="47">
        <v>44420</v>
      </c>
      <c r="Y128" s="1151"/>
      <c r="Z128" s="894"/>
      <c r="AA128" s="1155"/>
    </row>
    <row r="129" spans="1:27" ht="26.25" x14ac:dyDescent="0.25">
      <c r="A129" s="339"/>
      <c r="B129" s="338"/>
      <c r="C129" s="277"/>
      <c r="D129" s="565"/>
      <c r="E129" s="565"/>
      <c r="F129" s="277"/>
      <c r="G129" s="277"/>
      <c r="H129" s="565"/>
      <c r="I129" s="880"/>
      <c r="J129" s="191">
        <v>5530</v>
      </c>
      <c r="K129" s="359" t="s">
        <v>9456</v>
      </c>
      <c r="L129" s="95">
        <v>1622950</v>
      </c>
      <c r="M129" s="95">
        <v>5300900</v>
      </c>
      <c r="N129" s="108" t="s">
        <v>9902</v>
      </c>
      <c r="O129" s="259" t="s">
        <v>61</v>
      </c>
      <c r="P129" s="108" t="s">
        <v>419</v>
      </c>
      <c r="Q129" s="108" t="s">
        <v>9907</v>
      </c>
      <c r="R129" s="108" t="s">
        <v>4329</v>
      </c>
      <c r="S129" s="1009" t="s">
        <v>16</v>
      </c>
      <c r="T129" s="992" t="s">
        <v>604</v>
      </c>
      <c r="U129" s="46" t="s">
        <v>9441</v>
      </c>
      <c r="V129" s="46" t="s">
        <v>9442</v>
      </c>
      <c r="W129" s="46" t="s">
        <v>37</v>
      </c>
      <c r="X129" s="47">
        <v>44420</v>
      </c>
      <c r="Y129" s="1151"/>
      <c r="Z129" s="894"/>
      <c r="AA129" s="1155"/>
    </row>
    <row r="130" spans="1:27" ht="26.25" x14ac:dyDescent="0.25">
      <c r="A130" s="339"/>
      <c r="B130" s="338"/>
      <c r="C130" s="277"/>
      <c r="D130" s="565"/>
      <c r="E130" s="565"/>
      <c r="F130" s="277"/>
      <c r="G130" s="277"/>
      <c r="H130" s="565"/>
      <c r="I130" s="880"/>
      <c r="J130" s="191">
        <v>5531</v>
      </c>
      <c r="K130" s="359" t="s">
        <v>9457</v>
      </c>
      <c r="L130" s="95">
        <v>1622960</v>
      </c>
      <c r="M130" s="95">
        <v>5300910</v>
      </c>
      <c r="N130" s="108" t="s">
        <v>9458</v>
      </c>
      <c r="O130" s="259" t="s">
        <v>61</v>
      </c>
      <c r="P130" s="108" t="s">
        <v>419</v>
      </c>
      <c r="Q130" s="108" t="s">
        <v>9908</v>
      </c>
      <c r="R130" s="108" t="s">
        <v>4329</v>
      </c>
      <c r="S130" s="1009" t="s">
        <v>16</v>
      </c>
      <c r="T130" s="992" t="s">
        <v>604</v>
      </c>
      <c r="U130" s="46" t="s">
        <v>9441</v>
      </c>
      <c r="V130" s="46" t="s">
        <v>9442</v>
      </c>
      <c r="W130" s="46" t="s">
        <v>37</v>
      </c>
      <c r="X130" s="47">
        <v>44420</v>
      </c>
      <c r="Y130" s="1151"/>
      <c r="Z130" s="894"/>
      <c r="AA130" s="1155"/>
    </row>
    <row r="131" spans="1:27" ht="26.25" x14ac:dyDescent="0.25">
      <c r="A131" s="339"/>
      <c r="B131" s="338"/>
      <c r="C131" s="277"/>
      <c r="D131" s="565"/>
      <c r="E131" s="565"/>
      <c r="F131" s="277"/>
      <c r="G131" s="277"/>
      <c r="H131" s="565"/>
      <c r="I131" s="880"/>
      <c r="J131" s="191">
        <v>5532</v>
      </c>
      <c r="K131" s="359" t="s">
        <v>9459</v>
      </c>
      <c r="L131" s="95">
        <v>1623040</v>
      </c>
      <c r="M131" s="95">
        <v>5300970</v>
      </c>
      <c r="N131" s="108" t="s">
        <v>9458</v>
      </c>
      <c r="O131" s="259" t="s">
        <v>61</v>
      </c>
      <c r="P131" s="108" t="s">
        <v>419</v>
      </c>
      <c r="Q131" s="108" t="s">
        <v>9908</v>
      </c>
      <c r="R131" s="108" t="s">
        <v>4329</v>
      </c>
      <c r="S131" s="1009" t="s">
        <v>16</v>
      </c>
      <c r="T131" s="992" t="s">
        <v>604</v>
      </c>
      <c r="U131" s="46" t="s">
        <v>9441</v>
      </c>
      <c r="V131" s="46" t="s">
        <v>9442</v>
      </c>
      <c r="W131" s="46" t="s">
        <v>37</v>
      </c>
      <c r="X131" s="47">
        <v>44420</v>
      </c>
      <c r="Y131" s="1151"/>
      <c r="Z131" s="894"/>
      <c r="AA131" s="1155"/>
    </row>
    <row r="132" spans="1:27" ht="26.25" x14ac:dyDescent="0.25">
      <c r="A132" s="339"/>
      <c r="B132" s="338"/>
      <c r="C132" s="277"/>
      <c r="D132" s="565"/>
      <c r="E132" s="565"/>
      <c r="F132" s="277"/>
      <c r="G132" s="277"/>
      <c r="H132" s="565"/>
      <c r="I132" s="880"/>
      <c r="J132" s="191">
        <v>5533</v>
      </c>
      <c r="K132" s="359" t="s">
        <v>9460</v>
      </c>
      <c r="L132" s="95">
        <v>1623070</v>
      </c>
      <c r="M132" s="95">
        <v>5301000</v>
      </c>
      <c r="N132" s="108" t="s">
        <v>9458</v>
      </c>
      <c r="O132" s="259" t="s">
        <v>61</v>
      </c>
      <c r="P132" s="108" t="s">
        <v>419</v>
      </c>
      <c r="Q132" s="108" t="s">
        <v>9908</v>
      </c>
      <c r="R132" s="108" t="s">
        <v>4329</v>
      </c>
      <c r="S132" s="1009" t="s">
        <v>16</v>
      </c>
      <c r="T132" s="992" t="s">
        <v>604</v>
      </c>
      <c r="U132" s="46" t="s">
        <v>9441</v>
      </c>
      <c r="V132" s="46" t="s">
        <v>9442</v>
      </c>
      <c r="W132" s="46" t="s">
        <v>37</v>
      </c>
      <c r="X132" s="47">
        <v>44420</v>
      </c>
      <c r="Y132" s="1151"/>
      <c r="Z132" s="894"/>
      <c r="AA132" s="1155"/>
    </row>
    <row r="133" spans="1:27" ht="26.25" x14ac:dyDescent="0.25">
      <c r="A133" s="339"/>
      <c r="B133" s="338"/>
      <c r="C133" s="277"/>
      <c r="D133" s="565"/>
      <c r="E133" s="565"/>
      <c r="F133" s="277"/>
      <c r="G133" s="277"/>
      <c r="H133" s="565"/>
      <c r="I133" s="880"/>
      <c r="J133" s="191">
        <v>5534</v>
      </c>
      <c r="K133" s="359" t="s">
        <v>9461</v>
      </c>
      <c r="L133" s="95">
        <v>1624000</v>
      </c>
      <c r="M133" s="95">
        <v>5301530</v>
      </c>
      <c r="N133" s="108" t="s">
        <v>9462</v>
      </c>
      <c r="O133" s="259" t="s">
        <v>61</v>
      </c>
      <c r="P133" s="108" t="s">
        <v>419</v>
      </c>
      <c r="Q133" s="108" t="s">
        <v>9909</v>
      </c>
      <c r="R133" s="108" t="s">
        <v>4329</v>
      </c>
      <c r="S133" s="1009" t="s">
        <v>16</v>
      </c>
      <c r="T133" s="992" t="s">
        <v>10079</v>
      </c>
      <c r="U133" s="46" t="s">
        <v>9441</v>
      </c>
      <c r="V133" s="46" t="s">
        <v>9442</v>
      </c>
      <c r="W133" s="46" t="s">
        <v>37</v>
      </c>
      <c r="X133" s="47">
        <v>44420</v>
      </c>
      <c r="Y133" s="1151"/>
      <c r="Z133" s="894"/>
      <c r="AA133" s="1155"/>
    </row>
    <row r="134" spans="1:27" ht="26.25" x14ac:dyDescent="0.25">
      <c r="A134" s="339"/>
      <c r="B134" s="338"/>
      <c r="C134" s="277"/>
      <c r="D134" s="565"/>
      <c r="E134" s="565"/>
      <c r="F134" s="277"/>
      <c r="G134" s="277"/>
      <c r="H134" s="565"/>
      <c r="I134" s="880"/>
      <c r="J134" s="191">
        <v>5535</v>
      </c>
      <c r="K134" s="359" t="s">
        <v>9463</v>
      </c>
      <c r="L134" s="95">
        <v>1623970</v>
      </c>
      <c r="M134" s="95">
        <v>5301520</v>
      </c>
      <c r="N134" s="1010" t="s">
        <v>9464</v>
      </c>
      <c r="O134" s="259" t="s">
        <v>61</v>
      </c>
      <c r="P134" s="108" t="s">
        <v>419</v>
      </c>
      <c r="Q134" s="108" t="s">
        <v>1248</v>
      </c>
      <c r="R134" s="108" t="s">
        <v>4329</v>
      </c>
      <c r="S134" s="1009" t="s">
        <v>16</v>
      </c>
      <c r="T134" s="992" t="s">
        <v>4131</v>
      </c>
      <c r="U134" s="46" t="s">
        <v>9455</v>
      </c>
      <c r="V134" s="46" t="s">
        <v>9442</v>
      </c>
      <c r="W134" s="46" t="s">
        <v>37</v>
      </c>
      <c r="X134" s="47">
        <v>44420</v>
      </c>
      <c r="Y134" s="1151"/>
      <c r="Z134" s="894"/>
      <c r="AA134" s="1155"/>
    </row>
    <row r="135" spans="1:27" ht="26.25" x14ac:dyDescent="0.25">
      <c r="A135" s="339"/>
      <c r="B135" s="338"/>
      <c r="C135" s="277"/>
      <c r="D135" s="565"/>
      <c r="E135" s="565"/>
      <c r="F135" s="277"/>
      <c r="G135" s="277"/>
      <c r="H135" s="565"/>
      <c r="I135" s="880"/>
      <c r="J135" s="191">
        <v>5536</v>
      </c>
      <c r="K135" s="359" t="s">
        <v>9465</v>
      </c>
      <c r="L135" s="95">
        <v>1624290</v>
      </c>
      <c r="M135" s="95">
        <v>5301780</v>
      </c>
      <c r="N135" s="1011" t="s">
        <v>9466</v>
      </c>
      <c r="O135" s="259" t="s">
        <v>61</v>
      </c>
      <c r="P135" s="108" t="s">
        <v>419</v>
      </c>
      <c r="Q135" s="108" t="s">
        <v>8951</v>
      </c>
      <c r="R135" s="108" t="s">
        <v>4329</v>
      </c>
      <c r="S135" s="1009" t="s">
        <v>16</v>
      </c>
      <c r="T135" s="992" t="s">
        <v>9467</v>
      </c>
      <c r="U135" s="46" t="s">
        <v>9441</v>
      </c>
      <c r="V135" s="46" t="s">
        <v>9442</v>
      </c>
      <c r="W135" s="46" t="s">
        <v>37</v>
      </c>
      <c r="X135" s="47">
        <v>44420</v>
      </c>
      <c r="Y135" s="1151"/>
      <c r="Z135" s="894"/>
      <c r="AA135" s="1155"/>
    </row>
    <row r="136" spans="1:27" ht="26.25" x14ac:dyDescent="0.25">
      <c r="A136" s="339"/>
      <c r="B136" s="338"/>
      <c r="C136" s="277"/>
      <c r="D136" s="565"/>
      <c r="E136" s="565"/>
      <c r="F136" s="277"/>
      <c r="G136" s="277"/>
      <c r="H136" s="565"/>
      <c r="I136" s="880"/>
      <c r="J136" s="191">
        <v>5537</v>
      </c>
      <c r="K136" s="359" t="s">
        <v>9468</v>
      </c>
      <c r="L136" s="95">
        <v>1623150</v>
      </c>
      <c r="M136" s="95">
        <v>5301070</v>
      </c>
      <c r="N136" s="108" t="s">
        <v>9469</v>
      </c>
      <c r="O136" s="259" t="s">
        <v>61</v>
      </c>
      <c r="P136" s="108" t="s">
        <v>419</v>
      </c>
      <c r="Q136" s="108" t="s">
        <v>9908</v>
      </c>
      <c r="R136" s="108" t="s">
        <v>4329</v>
      </c>
      <c r="S136" s="1009" t="s">
        <v>16</v>
      </c>
      <c r="T136" s="992" t="s">
        <v>24</v>
      </c>
      <c r="U136" s="46" t="s">
        <v>9441</v>
      </c>
      <c r="V136" s="46" t="s">
        <v>9442</v>
      </c>
      <c r="W136" s="46" t="s">
        <v>37</v>
      </c>
      <c r="X136" s="47">
        <v>44420</v>
      </c>
      <c r="Y136" s="1151"/>
      <c r="Z136" s="894"/>
      <c r="AA136" s="1155"/>
    </row>
    <row r="137" spans="1:27" ht="26.25" x14ac:dyDescent="0.25">
      <c r="A137" s="339"/>
      <c r="B137" s="338"/>
      <c r="C137" s="277"/>
      <c r="D137" s="565"/>
      <c r="E137" s="565"/>
      <c r="F137" s="277"/>
      <c r="G137" s="277"/>
      <c r="H137" s="565"/>
      <c r="I137" s="880"/>
      <c r="J137" s="191">
        <v>5538</v>
      </c>
      <c r="K137" s="359" t="s">
        <v>9470</v>
      </c>
      <c r="L137" s="95">
        <v>1623150</v>
      </c>
      <c r="M137" s="95">
        <v>5301060</v>
      </c>
      <c r="N137" s="108" t="s">
        <v>9469</v>
      </c>
      <c r="O137" s="259" t="s">
        <v>61</v>
      </c>
      <c r="P137" s="108" t="s">
        <v>419</v>
      </c>
      <c r="Q137" s="108" t="s">
        <v>9908</v>
      </c>
      <c r="R137" s="108" t="s">
        <v>4329</v>
      </c>
      <c r="S137" s="1009" t="s">
        <v>16</v>
      </c>
      <c r="T137" s="992" t="s">
        <v>9471</v>
      </c>
      <c r="U137" s="46" t="s">
        <v>9441</v>
      </c>
      <c r="V137" s="46" t="s">
        <v>9442</v>
      </c>
      <c r="W137" s="46" t="s">
        <v>37</v>
      </c>
      <c r="X137" s="47">
        <v>44420</v>
      </c>
      <c r="Y137" s="1151"/>
      <c r="Z137" s="894"/>
      <c r="AA137" s="1155"/>
    </row>
    <row r="138" spans="1:27" ht="26.25" x14ac:dyDescent="0.25">
      <c r="A138" s="339"/>
      <c r="B138" s="338"/>
      <c r="C138" s="277"/>
      <c r="D138" s="565"/>
      <c r="E138" s="565"/>
      <c r="F138" s="277"/>
      <c r="G138" s="277"/>
      <c r="H138" s="565"/>
      <c r="I138" s="880"/>
      <c r="J138" s="191">
        <v>5539</v>
      </c>
      <c r="K138" s="359" t="s">
        <v>9472</v>
      </c>
      <c r="L138" s="95">
        <v>1623420</v>
      </c>
      <c r="M138" s="95">
        <v>5301250</v>
      </c>
      <c r="N138" s="108" t="s">
        <v>9452</v>
      </c>
      <c r="O138" s="259" t="s">
        <v>61</v>
      </c>
      <c r="P138" s="108" t="s">
        <v>419</v>
      </c>
      <c r="Q138" s="108" t="s">
        <v>5587</v>
      </c>
      <c r="R138" s="108" t="s">
        <v>4329</v>
      </c>
      <c r="S138" s="1009" t="s">
        <v>16</v>
      </c>
      <c r="T138" s="992" t="s">
        <v>4131</v>
      </c>
      <c r="U138" s="46" t="s">
        <v>9441</v>
      </c>
      <c r="V138" s="46" t="s">
        <v>9442</v>
      </c>
      <c r="W138" s="46" t="s">
        <v>37</v>
      </c>
      <c r="X138" s="47">
        <v>44420</v>
      </c>
      <c r="Y138" s="1151"/>
      <c r="Z138" s="894"/>
      <c r="AA138" s="1155"/>
    </row>
    <row r="139" spans="1:27" ht="26.25" x14ac:dyDescent="0.25">
      <c r="A139" s="339"/>
      <c r="B139" s="338"/>
      <c r="C139" s="277"/>
      <c r="D139" s="565"/>
      <c r="E139" s="565"/>
      <c r="F139" s="277"/>
      <c r="G139" s="277"/>
      <c r="H139" s="565"/>
      <c r="I139" s="880"/>
      <c r="J139" s="191">
        <v>5540</v>
      </c>
      <c r="K139" s="359" t="s">
        <v>9473</v>
      </c>
      <c r="L139" s="95">
        <v>1623660</v>
      </c>
      <c r="M139" s="95">
        <v>5301360</v>
      </c>
      <c r="N139" s="108" t="s">
        <v>9474</v>
      </c>
      <c r="O139" s="259" t="s">
        <v>61</v>
      </c>
      <c r="P139" s="108" t="s">
        <v>419</v>
      </c>
      <c r="Q139" s="108" t="s">
        <v>1248</v>
      </c>
      <c r="R139" s="108" t="s">
        <v>4329</v>
      </c>
      <c r="S139" s="1009" t="s">
        <v>16</v>
      </c>
      <c r="T139" s="992" t="s">
        <v>4131</v>
      </c>
      <c r="U139" s="46" t="s">
        <v>9455</v>
      </c>
      <c r="V139" s="46" t="s">
        <v>9442</v>
      </c>
      <c r="W139" s="46" t="s">
        <v>37</v>
      </c>
      <c r="X139" s="47">
        <v>44420</v>
      </c>
      <c r="Y139" s="1151"/>
      <c r="Z139" s="894"/>
      <c r="AA139" s="1155"/>
    </row>
    <row r="140" spans="1:27" ht="26.25" x14ac:dyDescent="0.25">
      <c r="A140" s="339"/>
      <c r="B140" s="338"/>
      <c r="C140" s="277"/>
      <c r="D140" s="565"/>
      <c r="E140" s="565"/>
      <c r="F140" s="277"/>
      <c r="G140" s="277"/>
      <c r="H140" s="565"/>
      <c r="I140" s="880"/>
      <c r="J140" s="191">
        <v>5541</v>
      </c>
      <c r="K140" s="359" t="s">
        <v>9475</v>
      </c>
      <c r="L140" s="95">
        <v>1624030</v>
      </c>
      <c r="M140" s="95">
        <v>5301550</v>
      </c>
      <c r="N140" s="1010" t="s">
        <v>9464</v>
      </c>
      <c r="O140" s="259" t="s">
        <v>61</v>
      </c>
      <c r="P140" s="108" t="s">
        <v>419</v>
      </c>
      <c r="Q140" s="108" t="s">
        <v>1248</v>
      </c>
      <c r="R140" s="108" t="s">
        <v>4329</v>
      </c>
      <c r="S140" s="1009" t="s">
        <v>16</v>
      </c>
      <c r="T140" s="992" t="s">
        <v>4131</v>
      </c>
      <c r="U140" s="46" t="s">
        <v>9455</v>
      </c>
      <c r="V140" s="46" t="s">
        <v>9442</v>
      </c>
      <c r="W140" s="46" t="s">
        <v>37</v>
      </c>
      <c r="X140" s="47">
        <v>44420</v>
      </c>
      <c r="Y140" s="1151"/>
      <c r="Z140" s="894"/>
      <c r="AA140" s="1155"/>
    </row>
    <row r="141" spans="1:27" ht="26.25" x14ac:dyDescent="0.25">
      <c r="A141" s="339"/>
      <c r="B141" s="338"/>
      <c r="C141" s="277"/>
      <c r="D141" s="565"/>
      <c r="E141" s="565"/>
      <c r="F141" s="277"/>
      <c r="G141" s="277"/>
      <c r="H141" s="565"/>
      <c r="I141" s="880"/>
      <c r="J141" s="191">
        <v>5542</v>
      </c>
      <c r="K141" s="359" t="s">
        <v>9476</v>
      </c>
      <c r="L141" s="95">
        <v>1623890</v>
      </c>
      <c r="M141" s="95">
        <v>5301510</v>
      </c>
      <c r="N141" s="1010" t="s">
        <v>9477</v>
      </c>
      <c r="O141" s="259" t="s">
        <v>61</v>
      </c>
      <c r="P141" s="108" t="s">
        <v>419</v>
      </c>
      <c r="Q141" s="108" t="s">
        <v>5935</v>
      </c>
      <c r="R141" s="108" t="s">
        <v>4329</v>
      </c>
      <c r="S141" s="1009" t="s">
        <v>16</v>
      </c>
      <c r="T141" s="992" t="s">
        <v>4131</v>
      </c>
      <c r="U141" s="46" t="s">
        <v>9441</v>
      </c>
      <c r="V141" s="46" t="s">
        <v>9442</v>
      </c>
      <c r="W141" s="46" t="s">
        <v>37</v>
      </c>
      <c r="X141" s="47">
        <v>44420</v>
      </c>
      <c r="Y141" s="1151"/>
      <c r="Z141" s="894"/>
      <c r="AA141" s="1155"/>
    </row>
    <row r="142" spans="1:27" ht="26.25" x14ac:dyDescent="0.25">
      <c r="A142" s="339"/>
      <c r="B142" s="338"/>
      <c r="C142" s="277"/>
      <c r="D142" s="565"/>
      <c r="E142" s="565"/>
      <c r="F142" s="277"/>
      <c r="G142" s="277"/>
      <c r="H142" s="565"/>
      <c r="I142" s="880"/>
      <c r="J142" s="191">
        <v>5543</v>
      </c>
      <c r="K142" s="359" t="s">
        <v>9478</v>
      </c>
      <c r="L142" s="95">
        <v>1622350</v>
      </c>
      <c r="M142" s="95">
        <v>5299600</v>
      </c>
      <c r="N142" s="108" t="s">
        <v>9479</v>
      </c>
      <c r="O142" s="259" t="s">
        <v>61</v>
      </c>
      <c r="P142" s="108" t="s">
        <v>419</v>
      </c>
      <c r="Q142" s="108" t="s">
        <v>9910</v>
      </c>
      <c r="R142" s="108" t="s">
        <v>4329</v>
      </c>
      <c r="S142" s="1009" t="s">
        <v>16</v>
      </c>
      <c r="T142" s="992" t="s">
        <v>4131</v>
      </c>
      <c r="U142" s="46" t="s">
        <v>9441</v>
      </c>
      <c r="V142" s="46" t="s">
        <v>9442</v>
      </c>
      <c r="W142" s="46" t="s">
        <v>37</v>
      </c>
      <c r="X142" s="47">
        <v>44420</v>
      </c>
      <c r="Y142" s="1151"/>
      <c r="Z142" s="894"/>
      <c r="AA142" s="1155"/>
    </row>
    <row r="143" spans="1:27" ht="27" thickBot="1" x14ac:dyDescent="0.3">
      <c r="A143" s="336"/>
      <c r="B143" s="196"/>
      <c r="C143" s="96"/>
      <c r="D143" s="566"/>
      <c r="E143" s="566"/>
      <c r="F143" s="96"/>
      <c r="G143" s="96"/>
      <c r="H143" s="566"/>
      <c r="I143" s="881"/>
      <c r="J143" s="190">
        <v>5603</v>
      </c>
      <c r="K143" s="357" t="s">
        <v>9480</v>
      </c>
      <c r="L143" s="96">
        <v>1624260</v>
      </c>
      <c r="M143" s="96">
        <v>5301760</v>
      </c>
      <c r="N143" s="107" t="s">
        <v>9481</v>
      </c>
      <c r="O143" s="262" t="s">
        <v>61</v>
      </c>
      <c r="P143" s="107" t="s">
        <v>419</v>
      </c>
      <c r="Q143" s="107" t="s">
        <v>1248</v>
      </c>
      <c r="R143" s="107" t="s">
        <v>4329</v>
      </c>
      <c r="S143" s="1012" t="s">
        <v>16</v>
      </c>
      <c r="T143" s="850" t="s">
        <v>798</v>
      </c>
      <c r="U143" s="52" t="s">
        <v>9482</v>
      </c>
      <c r="V143" s="52" t="s">
        <v>9442</v>
      </c>
      <c r="W143" s="52" t="s">
        <v>37</v>
      </c>
      <c r="X143" s="53">
        <v>44420</v>
      </c>
      <c r="Y143" s="1152"/>
      <c r="Z143" s="1158"/>
      <c r="AA143" s="1156"/>
    </row>
    <row r="144" spans="1:27" s="869" customFormat="1" ht="78" thickBot="1" x14ac:dyDescent="0.3">
      <c r="A144" s="818" t="s">
        <v>2045</v>
      </c>
      <c r="B144" s="1113" t="s">
        <v>2045</v>
      </c>
      <c r="C144" s="689">
        <v>771</v>
      </c>
      <c r="D144" s="779" t="s">
        <v>52</v>
      </c>
      <c r="E144" s="779"/>
      <c r="F144" s="819" t="s">
        <v>1262</v>
      </c>
      <c r="G144" s="689" t="s">
        <v>1263</v>
      </c>
      <c r="H144" s="689"/>
      <c r="I144" s="878"/>
      <c r="J144" s="689">
        <v>4083</v>
      </c>
      <c r="K144" s="690" t="s">
        <v>7973</v>
      </c>
      <c r="L144" s="973">
        <v>1326649.036964</v>
      </c>
      <c r="M144" s="973">
        <v>5007299.8414030001</v>
      </c>
      <c r="N144" s="819" t="s">
        <v>3290</v>
      </c>
      <c r="O144" s="689" t="s">
        <v>193</v>
      </c>
      <c r="P144" s="689" t="s">
        <v>7187</v>
      </c>
      <c r="Q144" s="819" t="s">
        <v>9013</v>
      </c>
      <c r="R144" s="690" t="s">
        <v>9014</v>
      </c>
      <c r="S144" s="691" t="s">
        <v>16</v>
      </c>
      <c r="T144" s="94" t="s">
        <v>7974</v>
      </c>
      <c r="U144" s="92" t="s">
        <v>7975</v>
      </c>
      <c r="V144" s="92" t="s">
        <v>2052</v>
      </c>
      <c r="W144" s="92" t="s">
        <v>6372</v>
      </c>
      <c r="X144" s="93">
        <v>44286</v>
      </c>
      <c r="Y144" s="92"/>
      <c r="Z144" s="93">
        <v>44379</v>
      </c>
      <c r="AA144" s="1108" t="s">
        <v>37</v>
      </c>
    </row>
    <row r="145" spans="1:27" s="869" customFormat="1" ht="39" x14ac:dyDescent="0.25">
      <c r="A145" s="341" t="s">
        <v>2830</v>
      </c>
      <c r="B145" s="181" t="s">
        <v>2831</v>
      </c>
      <c r="C145" s="125">
        <v>187</v>
      </c>
      <c r="D145" s="585" t="s">
        <v>57</v>
      </c>
      <c r="E145" s="585"/>
      <c r="F145" s="145" t="s">
        <v>2002</v>
      </c>
      <c r="G145" s="145" t="s">
        <v>1238</v>
      </c>
      <c r="H145" s="125"/>
      <c r="I145" s="879"/>
      <c r="J145" s="189">
        <v>5294</v>
      </c>
      <c r="K145" s="253">
        <v>10.1</v>
      </c>
      <c r="L145" s="911">
        <v>1934736.0109999999</v>
      </c>
      <c r="M145" s="911">
        <v>5786503.9855000004</v>
      </c>
      <c r="N145" s="548" t="s">
        <v>8431</v>
      </c>
      <c r="O145" s="254" t="s">
        <v>194</v>
      </c>
      <c r="P145" s="254">
        <v>1</v>
      </c>
      <c r="Q145" s="125" t="s">
        <v>9078</v>
      </c>
      <c r="R145" s="355" t="s">
        <v>9088</v>
      </c>
      <c r="S145" s="256" t="s">
        <v>10</v>
      </c>
      <c r="T145" s="854" t="s">
        <v>8392</v>
      </c>
      <c r="U145" s="40" t="s">
        <v>8439</v>
      </c>
      <c r="V145" s="40" t="s">
        <v>6540</v>
      </c>
      <c r="W145" s="40" t="s">
        <v>37</v>
      </c>
      <c r="X145" s="41">
        <v>44390</v>
      </c>
      <c r="Y145" s="40"/>
      <c r="Z145" s="54"/>
      <c r="AA145" s="652"/>
    </row>
    <row r="146" spans="1:27" s="869" customFormat="1" ht="39" x14ac:dyDescent="0.25">
      <c r="A146" s="339"/>
      <c r="B146" s="116"/>
      <c r="C146" s="95"/>
      <c r="D146" s="567"/>
      <c r="E146" s="567"/>
      <c r="F146" s="146"/>
      <c r="G146" s="146"/>
      <c r="H146" s="95"/>
      <c r="I146" s="880"/>
      <c r="J146" s="191">
        <v>5295</v>
      </c>
      <c r="K146" s="462">
        <v>16</v>
      </c>
      <c r="L146" s="913">
        <v>1936166.1813000001</v>
      </c>
      <c r="M146" s="913">
        <v>5787437.0893999999</v>
      </c>
      <c r="N146" s="856" t="s">
        <v>8393</v>
      </c>
      <c r="O146" s="258" t="s">
        <v>194</v>
      </c>
      <c r="P146" s="258">
        <v>1</v>
      </c>
      <c r="Q146" s="95" t="s">
        <v>9079</v>
      </c>
      <c r="R146" s="359" t="s">
        <v>9088</v>
      </c>
      <c r="S146" s="373" t="s">
        <v>16</v>
      </c>
      <c r="T146" s="855" t="s">
        <v>8394</v>
      </c>
      <c r="U146" s="46" t="s">
        <v>8435</v>
      </c>
      <c r="V146" s="46" t="s">
        <v>6540</v>
      </c>
      <c r="W146" s="46" t="s">
        <v>37</v>
      </c>
      <c r="X146" s="47">
        <v>44390</v>
      </c>
      <c r="Y146" s="46"/>
      <c r="Z146" s="365"/>
      <c r="AA146" s="1107"/>
    </row>
    <row r="147" spans="1:27" s="869" customFormat="1" ht="39" x14ac:dyDescent="0.25">
      <c r="A147" s="339"/>
      <c r="B147" s="116"/>
      <c r="C147" s="95"/>
      <c r="D147" s="567"/>
      <c r="E147" s="567"/>
      <c r="F147" s="146"/>
      <c r="G147" s="146"/>
      <c r="H147" s="95"/>
      <c r="I147" s="880"/>
      <c r="J147" s="191">
        <v>5296</v>
      </c>
      <c r="K147" s="462">
        <v>17</v>
      </c>
      <c r="L147" s="913">
        <v>1936296.0415000001</v>
      </c>
      <c r="M147" s="913">
        <v>5787627.4877000004</v>
      </c>
      <c r="N147" s="856" t="s">
        <v>8395</v>
      </c>
      <c r="O147" s="258" t="s">
        <v>194</v>
      </c>
      <c r="P147" s="258">
        <v>1</v>
      </c>
      <c r="Q147" s="95" t="s">
        <v>9080</v>
      </c>
      <c r="R147" s="359" t="s">
        <v>9088</v>
      </c>
      <c r="S147" s="373" t="s">
        <v>16</v>
      </c>
      <c r="T147" s="855" t="s">
        <v>8187</v>
      </c>
      <c r="U147" s="46" t="s">
        <v>8435</v>
      </c>
      <c r="V147" s="46" t="s">
        <v>6540</v>
      </c>
      <c r="W147" s="46" t="s">
        <v>37</v>
      </c>
      <c r="X147" s="47">
        <v>44390</v>
      </c>
      <c r="Y147" s="46"/>
      <c r="Z147" s="365"/>
      <c r="AA147" s="1107"/>
    </row>
    <row r="148" spans="1:27" s="869" customFormat="1" ht="39" x14ac:dyDescent="0.25">
      <c r="A148" s="339"/>
      <c r="B148" s="116"/>
      <c r="C148" s="95"/>
      <c r="D148" s="567"/>
      <c r="E148" s="567"/>
      <c r="F148" s="146"/>
      <c r="G148" s="146"/>
      <c r="H148" s="95"/>
      <c r="I148" s="880"/>
      <c r="J148" s="191">
        <v>5297</v>
      </c>
      <c r="K148" s="462">
        <v>18.2</v>
      </c>
      <c r="L148" s="913">
        <v>1936405.9538</v>
      </c>
      <c r="M148" s="913">
        <v>5787767.8022999996</v>
      </c>
      <c r="N148" s="856" t="s">
        <v>8396</v>
      </c>
      <c r="O148" s="258" t="s">
        <v>194</v>
      </c>
      <c r="P148" s="258">
        <v>1</v>
      </c>
      <c r="Q148" s="95" t="s">
        <v>9080</v>
      </c>
      <c r="R148" s="359" t="s">
        <v>9088</v>
      </c>
      <c r="S148" s="373" t="s">
        <v>16</v>
      </c>
      <c r="T148" s="855" t="s">
        <v>8397</v>
      </c>
      <c r="U148" s="46" t="s">
        <v>8435</v>
      </c>
      <c r="V148" s="46" t="s">
        <v>6540</v>
      </c>
      <c r="W148" s="46" t="s">
        <v>37</v>
      </c>
      <c r="X148" s="47">
        <v>44390</v>
      </c>
      <c r="Y148" s="46"/>
      <c r="Z148" s="365"/>
      <c r="AA148" s="1107"/>
    </row>
    <row r="149" spans="1:27" s="869" customFormat="1" ht="39" x14ac:dyDescent="0.25">
      <c r="A149" s="339"/>
      <c r="B149" s="116"/>
      <c r="C149" s="95"/>
      <c r="D149" s="567"/>
      <c r="E149" s="567"/>
      <c r="F149" s="146"/>
      <c r="G149" s="146"/>
      <c r="H149" s="95"/>
      <c r="I149" s="880"/>
      <c r="J149" s="191">
        <v>5298</v>
      </c>
      <c r="K149" s="462">
        <v>18.100000000000001</v>
      </c>
      <c r="L149" s="913">
        <v>1936546.0464000001</v>
      </c>
      <c r="M149" s="913">
        <v>5787808.0519000003</v>
      </c>
      <c r="N149" s="856" t="s">
        <v>8432</v>
      </c>
      <c r="O149" s="258" t="s">
        <v>194</v>
      </c>
      <c r="P149" s="258">
        <v>1</v>
      </c>
      <c r="Q149" s="95" t="s">
        <v>9081</v>
      </c>
      <c r="R149" s="359" t="s">
        <v>9088</v>
      </c>
      <c r="S149" s="373" t="s">
        <v>10</v>
      </c>
      <c r="T149" s="855" t="s">
        <v>8392</v>
      </c>
      <c r="U149" s="46" t="s">
        <v>8440</v>
      </c>
      <c r="V149" s="46" t="s">
        <v>6540</v>
      </c>
      <c r="W149" s="46" t="s">
        <v>37</v>
      </c>
      <c r="X149" s="47">
        <v>44390</v>
      </c>
      <c r="Y149" s="46"/>
      <c r="Z149" s="365"/>
      <c r="AA149" s="1107"/>
    </row>
    <row r="150" spans="1:27" s="869" customFormat="1" ht="39" x14ac:dyDescent="0.25">
      <c r="A150" s="339"/>
      <c r="B150" s="116"/>
      <c r="C150" s="95"/>
      <c r="D150" s="567"/>
      <c r="E150" s="567"/>
      <c r="F150" s="146"/>
      <c r="G150" s="146"/>
      <c r="H150" s="95"/>
      <c r="I150" s="880"/>
      <c r="J150" s="191">
        <v>5299</v>
      </c>
      <c r="K150" s="462">
        <v>19</v>
      </c>
      <c r="L150" s="913">
        <v>1936636.0996999999</v>
      </c>
      <c r="M150" s="913">
        <v>5787838.2171</v>
      </c>
      <c r="N150" s="856" t="s">
        <v>8395</v>
      </c>
      <c r="O150" s="258" t="s">
        <v>194</v>
      </c>
      <c r="P150" s="258">
        <v>1</v>
      </c>
      <c r="Q150" s="95" t="s">
        <v>9080</v>
      </c>
      <c r="R150" s="359" t="s">
        <v>9088</v>
      </c>
      <c r="S150" s="373" t="s">
        <v>16</v>
      </c>
      <c r="T150" s="855" t="s">
        <v>8398</v>
      </c>
      <c r="U150" s="46" t="s">
        <v>8435</v>
      </c>
      <c r="V150" s="46" t="s">
        <v>6540</v>
      </c>
      <c r="W150" s="46" t="s">
        <v>37</v>
      </c>
      <c r="X150" s="47">
        <v>44390</v>
      </c>
      <c r="Y150" s="46"/>
      <c r="Z150" s="365"/>
      <c r="AA150" s="1107"/>
    </row>
    <row r="151" spans="1:27" s="869" customFormat="1" ht="39" x14ac:dyDescent="0.25">
      <c r="A151" s="339"/>
      <c r="B151" s="116"/>
      <c r="C151" s="95"/>
      <c r="D151" s="567"/>
      <c r="E151" s="567"/>
      <c r="F151" s="146"/>
      <c r="G151" s="146"/>
      <c r="H151" s="95"/>
      <c r="I151" s="880"/>
      <c r="J151" s="191">
        <v>5300</v>
      </c>
      <c r="K151" s="462">
        <v>20</v>
      </c>
      <c r="L151" s="913">
        <v>1936766.1964</v>
      </c>
      <c r="M151" s="913">
        <v>5787868.4412000002</v>
      </c>
      <c r="N151" s="856" t="s">
        <v>8399</v>
      </c>
      <c r="O151" s="258" t="s">
        <v>194</v>
      </c>
      <c r="P151" s="258">
        <v>1</v>
      </c>
      <c r="Q151" s="95" t="s">
        <v>9082</v>
      </c>
      <c r="R151" s="359" t="s">
        <v>9088</v>
      </c>
      <c r="S151" s="373" t="s">
        <v>16</v>
      </c>
      <c r="T151" s="855" t="s">
        <v>8400</v>
      </c>
      <c r="U151" s="46" t="s">
        <v>8435</v>
      </c>
      <c r="V151" s="46" t="s">
        <v>6540</v>
      </c>
      <c r="W151" s="46" t="s">
        <v>37</v>
      </c>
      <c r="X151" s="47">
        <v>44390</v>
      </c>
      <c r="Y151" s="46"/>
      <c r="Z151" s="365"/>
      <c r="AA151" s="1107"/>
    </row>
    <row r="152" spans="1:27" s="869" customFormat="1" ht="39" x14ac:dyDescent="0.25">
      <c r="A152" s="339"/>
      <c r="B152" s="116"/>
      <c r="C152" s="95"/>
      <c r="D152" s="567"/>
      <c r="E152" s="567"/>
      <c r="F152" s="146"/>
      <c r="G152" s="146"/>
      <c r="H152" s="95"/>
      <c r="I152" s="880"/>
      <c r="J152" s="191">
        <v>5301</v>
      </c>
      <c r="K152" s="462">
        <v>23</v>
      </c>
      <c r="L152" s="913">
        <v>1937346.2352</v>
      </c>
      <c r="M152" s="913">
        <v>5788269.7341999998</v>
      </c>
      <c r="N152" s="856" t="s">
        <v>1235</v>
      </c>
      <c r="O152" s="258" t="s">
        <v>194</v>
      </c>
      <c r="P152" s="258">
        <v>1</v>
      </c>
      <c r="Q152" s="95" t="s">
        <v>5863</v>
      </c>
      <c r="R152" s="359" t="s">
        <v>9088</v>
      </c>
      <c r="S152" s="373" t="s">
        <v>16</v>
      </c>
      <c r="T152" s="855" t="s">
        <v>8401</v>
      </c>
      <c r="U152" s="46" t="s">
        <v>8435</v>
      </c>
      <c r="V152" s="46" t="s">
        <v>6540</v>
      </c>
      <c r="W152" s="46" t="s">
        <v>37</v>
      </c>
      <c r="X152" s="47">
        <v>44390</v>
      </c>
      <c r="Y152" s="46"/>
      <c r="Z152" s="365"/>
      <c r="AA152" s="1107"/>
    </row>
    <row r="153" spans="1:27" s="869" customFormat="1" ht="39" x14ac:dyDescent="0.25">
      <c r="A153" s="339"/>
      <c r="B153" s="116"/>
      <c r="C153" s="95"/>
      <c r="D153" s="567"/>
      <c r="E153" s="567"/>
      <c r="F153" s="146"/>
      <c r="G153" s="146"/>
      <c r="H153" s="95"/>
      <c r="I153" s="880"/>
      <c r="J153" s="191">
        <v>5302</v>
      </c>
      <c r="K153" s="462">
        <v>23.1</v>
      </c>
      <c r="L153" s="913">
        <v>1937396.2008</v>
      </c>
      <c r="M153" s="913">
        <v>5788329.8739</v>
      </c>
      <c r="N153" s="856" t="s">
        <v>4506</v>
      </c>
      <c r="O153" s="258" t="s">
        <v>194</v>
      </c>
      <c r="P153" s="258">
        <v>1</v>
      </c>
      <c r="Q153" s="95" t="s">
        <v>9083</v>
      </c>
      <c r="R153" s="359" t="s">
        <v>9088</v>
      </c>
      <c r="S153" s="373" t="s">
        <v>16</v>
      </c>
      <c r="T153" s="855" t="s">
        <v>8402</v>
      </c>
      <c r="U153" s="46" t="s">
        <v>8435</v>
      </c>
      <c r="V153" s="46" t="s">
        <v>8403</v>
      </c>
      <c r="W153" s="46" t="s">
        <v>37</v>
      </c>
      <c r="X153" s="47">
        <v>44390</v>
      </c>
      <c r="Y153" s="46"/>
      <c r="Z153" s="365"/>
      <c r="AA153" s="1107"/>
    </row>
    <row r="154" spans="1:27" s="869" customFormat="1" ht="39" x14ac:dyDescent="0.25">
      <c r="A154" s="339"/>
      <c r="B154" s="116"/>
      <c r="C154" s="95"/>
      <c r="D154" s="567"/>
      <c r="E154" s="567"/>
      <c r="F154" s="146"/>
      <c r="G154" s="146"/>
      <c r="H154" s="95"/>
      <c r="I154" s="880"/>
      <c r="J154" s="191">
        <v>5303</v>
      </c>
      <c r="K154" s="462">
        <v>5.0999999999999996</v>
      </c>
      <c r="L154" s="913">
        <v>1937655.6529999999</v>
      </c>
      <c r="M154" s="913">
        <v>5788890.8739999998</v>
      </c>
      <c r="N154" s="856" t="s">
        <v>8431</v>
      </c>
      <c r="O154" s="258" t="s">
        <v>194</v>
      </c>
      <c r="P154" s="258">
        <v>1</v>
      </c>
      <c r="Q154" s="95" t="s">
        <v>9084</v>
      </c>
      <c r="R154" s="359" t="s">
        <v>9088</v>
      </c>
      <c r="S154" s="373" t="s">
        <v>10</v>
      </c>
      <c r="T154" s="855" t="s">
        <v>8404</v>
      </c>
      <c r="U154" s="46" t="s">
        <v>8442</v>
      </c>
      <c r="V154" s="46" t="s">
        <v>6540</v>
      </c>
      <c r="W154" s="46" t="s">
        <v>37</v>
      </c>
      <c r="X154" s="47">
        <v>44390</v>
      </c>
      <c r="Y154" s="46"/>
      <c r="Z154" s="365"/>
      <c r="AA154" s="1107"/>
    </row>
    <row r="155" spans="1:27" s="869" customFormat="1" ht="39" x14ac:dyDescent="0.25">
      <c r="A155" s="339"/>
      <c r="B155" s="116"/>
      <c r="C155" s="95"/>
      <c r="D155" s="567"/>
      <c r="E155" s="567"/>
      <c r="F155" s="146"/>
      <c r="G155" s="146"/>
      <c r="H155" s="95"/>
      <c r="I155" s="880"/>
      <c r="J155" s="191">
        <v>5304</v>
      </c>
      <c r="K155" s="462">
        <v>5.2</v>
      </c>
      <c r="L155" s="913">
        <v>1937635.3784</v>
      </c>
      <c r="M155" s="913">
        <v>5789061.0314999996</v>
      </c>
      <c r="N155" s="856" t="s">
        <v>8405</v>
      </c>
      <c r="O155" s="258" t="s">
        <v>194</v>
      </c>
      <c r="P155" s="258">
        <v>1</v>
      </c>
      <c r="Q155" s="95" t="s">
        <v>9085</v>
      </c>
      <c r="R155" s="359" t="s">
        <v>9088</v>
      </c>
      <c r="S155" s="373" t="s">
        <v>16</v>
      </c>
      <c r="T155" s="855" t="s">
        <v>8406</v>
      </c>
      <c r="U155" s="46" t="s">
        <v>8435</v>
      </c>
      <c r="V155" s="46" t="s">
        <v>6540</v>
      </c>
      <c r="W155" s="46" t="s">
        <v>37</v>
      </c>
      <c r="X155" s="47">
        <v>44390</v>
      </c>
      <c r="Y155" s="46"/>
      <c r="Z155" s="365"/>
      <c r="AA155" s="1107"/>
    </row>
    <row r="156" spans="1:27" s="869" customFormat="1" ht="39" x14ac:dyDescent="0.25">
      <c r="A156" s="339"/>
      <c r="B156" s="116"/>
      <c r="C156" s="95"/>
      <c r="D156" s="567"/>
      <c r="E156" s="567"/>
      <c r="F156" s="146"/>
      <c r="G156" s="146"/>
      <c r="H156" s="95"/>
      <c r="I156" s="880"/>
      <c r="J156" s="191">
        <v>5305</v>
      </c>
      <c r="K156" s="462">
        <v>5.4</v>
      </c>
      <c r="L156" s="913">
        <v>1937635.3784</v>
      </c>
      <c r="M156" s="913">
        <v>5789061.0314999996</v>
      </c>
      <c r="N156" s="856" t="s">
        <v>8407</v>
      </c>
      <c r="O156" s="258" t="s">
        <v>194</v>
      </c>
      <c r="P156" s="258">
        <v>1</v>
      </c>
      <c r="Q156" s="95" t="s">
        <v>9086</v>
      </c>
      <c r="R156" s="359" t="s">
        <v>9088</v>
      </c>
      <c r="S156" s="373" t="s">
        <v>16</v>
      </c>
      <c r="T156" s="855" t="s">
        <v>8406</v>
      </c>
      <c r="U156" s="46" t="s">
        <v>8435</v>
      </c>
      <c r="V156" s="46" t="s">
        <v>6540</v>
      </c>
      <c r="W156" s="46" t="s">
        <v>37</v>
      </c>
      <c r="X156" s="47">
        <v>44390</v>
      </c>
      <c r="Y156" s="46"/>
      <c r="Z156" s="365"/>
      <c r="AA156" s="1107"/>
    </row>
    <row r="157" spans="1:27" s="869" customFormat="1" ht="39" x14ac:dyDescent="0.25">
      <c r="A157" s="339"/>
      <c r="B157" s="116"/>
      <c r="C157" s="95"/>
      <c r="D157" s="567"/>
      <c r="E157" s="567"/>
      <c r="F157" s="146"/>
      <c r="G157" s="146"/>
      <c r="H157" s="95"/>
      <c r="I157" s="880"/>
      <c r="J157" s="191">
        <v>5306</v>
      </c>
      <c r="K157" s="462">
        <v>29</v>
      </c>
      <c r="L157" s="913">
        <v>1937984.2992</v>
      </c>
      <c r="M157" s="913">
        <v>5790042.6301999995</v>
      </c>
      <c r="N157" s="856" t="s">
        <v>8408</v>
      </c>
      <c r="O157" s="258" t="s">
        <v>194</v>
      </c>
      <c r="P157" s="258">
        <v>1</v>
      </c>
      <c r="Q157" s="95" t="s">
        <v>9087</v>
      </c>
      <c r="R157" s="359" t="s">
        <v>9088</v>
      </c>
      <c r="S157" s="373" t="s">
        <v>16</v>
      </c>
      <c r="T157" s="855" t="s">
        <v>8409</v>
      </c>
      <c r="U157" s="46" t="s">
        <v>8435</v>
      </c>
      <c r="V157" s="46" t="s">
        <v>6540</v>
      </c>
      <c r="W157" s="46" t="s">
        <v>37</v>
      </c>
      <c r="X157" s="47">
        <v>44390</v>
      </c>
      <c r="Y157" s="46"/>
      <c r="Z157" s="365"/>
      <c r="AA157" s="1107"/>
    </row>
    <row r="158" spans="1:27" s="869" customFormat="1" ht="39" x14ac:dyDescent="0.25">
      <c r="A158" s="339"/>
      <c r="B158" s="116"/>
      <c r="C158" s="95"/>
      <c r="D158" s="567"/>
      <c r="E158" s="567"/>
      <c r="F158" s="146"/>
      <c r="G158" s="146"/>
      <c r="H158" s="95"/>
      <c r="I158" s="880"/>
      <c r="J158" s="191">
        <v>5307</v>
      </c>
      <c r="K158" s="462">
        <v>35</v>
      </c>
      <c r="L158" s="913">
        <v>1938224.5619000001</v>
      </c>
      <c r="M158" s="913">
        <v>5790042.9872000003</v>
      </c>
      <c r="N158" s="856" t="s">
        <v>8408</v>
      </c>
      <c r="O158" s="258" t="s">
        <v>194</v>
      </c>
      <c r="P158" s="258">
        <v>1</v>
      </c>
      <c r="Q158" s="95" t="s">
        <v>9087</v>
      </c>
      <c r="R158" s="359" t="s">
        <v>9088</v>
      </c>
      <c r="S158" s="373" t="s">
        <v>16</v>
      </c>
      <c r="T158" s="855" t="s">
        <v>8410</v>
      </c>
      <c r="U158" s="46" t="s">
        <v>8435</v>
      </c>
      <c r="V158" s="46" t="s">
        <v>6540</v>
      </c>
      <c r="W158" s="46" t="s">
        <v>37</v>
      </c>
      <c r="X158" s="47">
        <v>44390</v>
      </c>
      <c r="Y158" s="46"/>
      <c r="Z158" s="365"/>
      <c r="AA158" s="1107"/>
    </row>
    <row r="159" spans="1:27" s="869" customFormat="1" ht="39.75" thickBot="1" x14ac:dyDescent="0.3">
      <c r="A159" s="336"/>
      <c r="B159" s="196"/>
      <c r="C159" s="96"/>
      <c r="D159" s="566"/>
      <c r="E159" s="566"/>
      <c r="F159" s="147"/>
      <c r="G159" s="147"/>
      <c r="H159" s="96"/>
      <c r="I159" s="881"/>
      <c r="J159" s="190">
        <v>5308</v>
      </c>
      <c r="K159" s="363">
        <v>13.1</v>
      </c>
      <c r="L159" s="912">
        <v>1935175.3496999999</v>
      </c>
      <c r="M159" s="912">
        <v>5787275.4633999998</v>
      </c>
      <c r="N159" s="549" t="s">
        <v>8411</v>
      </c>
      <c r="O159" s="261" t="s">
        <v>194</v>
      </c>
      <c r="P159" s="261">
        <v>1</v>
      </c>
      <c r="Q159" s="96" t="s">
        <v>2684</v>
      </c>
      <c r="R159" s="357" t="s">
        <v>9088</v>
      </c>
      <c r="S159" s="330" t="s">
        <v>16</v>
      </c>
      <c r="T159" s="828" t="s">
        <v>8392</v>
      </c>
      <c r="U159" s="52" t="s">
        <v>8441</v>
      </c>
      <c r="V159" s="52" t="s">
        <v>6540</v>
      </c>
      <c r="W159" s="52" t="s">
        <v>37</v>
      </c>
      <c r="X159" s="53">
        <v>44390</v>
      </c>
      <c r="Y159" s="52"/>
      <c r="Z159" s="367"/>
      <c r="AA159" s="653"/>
    </row>
    <row r="160" spans="1:27" s="871" customFormat="1" ht="39.75" thickBot="1" x14ac:dyDescent="0.3">
      <c r="A160" s="487" t="s">
        <v>2113</v>
      </c>
      <c r="B160" s="128" t="s">
        <v>5044</v>
      </c>
      <c r="C160" s="72">
        <v>666</v>
      </c>
      <c r="D160" s="586" t="s">
        <v>52</v>
      </c>
      <c r="E160" s="586" t="s">
        <v>53</v>
      </c>
      <c r="F160" s="72" t="s">
        <v>1131</v>
      </c>
      <c r="G160" s="72" t="s">
        <v>1973</v>
      </c>
      <c r="H160" s="72"/>
      <c r="I160" s="381"/>
      <c r="J160" s="87">
        <v>835</v>
      </c>
      <c r="K160" s="360" t="s">
        <v>4814</v>
      </c>
      <c r="L160" s="198">
        <v>1553293.2359</v>
      </c>
      <c r="M160" s="198">
        <v>5256621.824</v>
      </c>
      <c r="N160" s="199" t="s">
        <v>4816</v>
      </c>
      <c r="O160" s="199" t="s">
        <v>194</v>
      </c>
      <c r="P160" s="199">
        <v>1</v>
      </c>
      <c r="Q160" s="199" t="s">
        <v>4817</v>
      </c>
      <c r="R160" s="360" t="s">
        <v>4818</v>
      </c>
      <c r="S160" s="88" t="s">
        <v>16</v>
      </c>
      <c r="T160" s="446" t="s">
        <v>891</v>
      </c>
      <c r="U160" s="208" t="s">
        <v>4819</v>
      </c>
      <c r="V160" s="208" t="s">
        <v>2116</v>
      </c>
      <c r="W160" s="208" t="s">
        <v>37</v>
      </c>
      <c r="X160" s="209">
        <v>44229</v>
      </c>
      <c r="Y160" s="208"/>
      <c r="Z160" s="364"/>
      <c r="AA160" s="1109"/>
    </row>
    <row r="161" spans="1:27" s="871" customFormat="1" ht="52.5" thickBot="1" x14ac:dyDescent="0.3">
      <c r="A161" s="1038"/>
      <c r="B161" s="571"/>
      <c r="C161" s="67"/>
      <c r="D161" s="580"/>
      <c r="E161" s="580"/>
      <c r="F161" s="143"/>
      <c r="G161" s="75"/>
      <c r="H161" s="75"/>
      <c r="I161" s="121"/>
      <c r="J161" s="87">
        <v>836</v>
      </c>
      <c r="K161" s="360" t="s">
        <v>4815</v>
      </c>
      <c r="L161" s="198">
        <v>1548858.6128</v>
      </c>
      <c r="M161" s="198">
        <v>5252231.7022000002</v>
      </c>
      <c r="N161" s="199" t="s">
        <v>3862</v>
      </c>
      <c r="O161" s="199" t="s">
        <v>5</v>
      </c>
      <c r="P161" s="199">
        <v>1</v>
      </c>
      <c r="Q161" s="199" t="s">
        <v>9233</v>
      </c>
      <c r="R161" s="360" t="s">
        <v>4824</v>
      </c>
      <c r="S161" s="88" t="s">
        <v>85</v>
      </c>
      <c r="T161" s="446" t="s">
        <v>798</v>
      </c>
      <c r="U161" s="208" t="s">
        <v>4820</v>
      </c>
      <c r="V161" s="208" t="s">
        <v>2116</v>
      </c>
      <c r="W161" s="208" t="s">
        <v>37</v>
      </c>
      <c r="X161" s="209">
        <v>44229</v>
      </c>
      <c r="Y161" s="208"/>
      <c r="Z161" s="364"/>
      <c r="AA161" s="1109"/>
    </row>
    <row r="162" spans="1:27" s="871" customFormat="1" ht="52.5" thickBot="1" x14ac:dyDescent="0.3">
      <c r="A162" s="1038"/>
      <c r="B162" s="571"/>
      <c r="C162" s="67"/>
      <c r="D162" s="580"/>
      <c r="E162" s="580"/>
      <c r="F162" s="143"/>
      <c r="G162" s="75"/>
      <c r="H162" s="75"/>
      <c r="I162" s="121"/>
      <c r="J162" s="87">
        <v>837</v>
      </c>
      <c r="K162" s="360" t="s">
        <v>4821</v>
      </c>
      <c r="L162" s="198">
        <v>1546313.7845999999</v>
      </c>
      <c r="M162" s="198">
        <v>5249275.7692</v>
      </c>
      <c r="N162" s="199" t="s">
        <v>4822</v>
      </c>
      <c r="O162" s="199" t="s">
        <v>5</v>
      </c>
      <c r="P162" s="199">
        <v>1</v>
      </c>
      <c r="Q162" s="199" t="s">
        <v>9234</v>
      </c>
      <c r="R162" s="360" t="s">
        <v>4826</v>
      </c>
      <c r="S162" s="88" t="s">
        <v>85</v>
      </c>
      <c r="T162" s="446" t="s">
        <v>4825</v>
      </c>
      <c r="U162" s="208" t="s">
        <v>4820</v>
      </c>
      <c r="V162" s="208" t="s">
        <v>2116</v>
      </c>
      <c r="W162" s="208" t="s">
        <v>37</v>
      </c>
      <c r="X162" s="209">
        <v>44229</v>
      </c>
      <c r="Y162" s="208"/>
      <c r="Z162" s="364"/>
      <c r="AA162" s="1109"/>
    </row>
    <row r="163" spans="1:27" s="871" customFormat="1" ht="52.5" thickBot="1" x14ac:dyDescent="0.3">
      <c r="A163" s="1038"/>
      <c r="B163" s="571"/>
      <c r="C163" s="67"/>
      <c r="D163" s="580"/>
      <c r="E163" s="580"/>
      <c r="F163" s="143"/>
      <c r="G163" s="75"/>
      <c r="H163" s="75"/>
      <c r="I163" s="121"/>
      <c r="J163" s="187">
        <v>838</v>
      </c>
      <c r="K163" s="73" t="s">
        <v>4827</v>
      </c>
      <c r="L163" s="914">
        <v>1542538.3626000001</v>
      </c>
      <c r="M163" s="914">
        <v>5246060.4408</v>
      </c>
      <c r="N163" s="129" t="s">
        <v>4828</v>
      </c>
      <c r="O163" s="129" t="s">
        <v>5</v>
      </c>
      <c r="P163" s="129">
        <v>1</v>
      </c>
      <c r="Q163" s="129" t="s">
        <v>9235</v>
      </c>
      <c r="R163" s="73" t="s">
        <v>4823</v>
      </c>
      <c r="S163" s="74" t="s">
        <v>16</v>
      </c>
      <c r="T163" s="446" t="s">
        <v>4829</v>
      </c>
      <c r="U163" s="208" t="s">
        <v>4831</v>
      </c>
      <c r="V163" s="208" t="s">
        <v>2116</v>
      </c>
      <c r="W163" s="208" t="s">
        <v>37</v>
      </c>
      <c r="X163" s="209">
        <v>44229</v>
      </c>
      <c r="Y163" s="208"/>
      <c r="Z163" s="364"/>
      <c r="AA163" s="1109"/>
    </row>
    <row r="164" spans="1:27" s="871" customFormat="1" ht="52.5" thickBot="1" x14ac:dyDescent="0.3">
      <c r="A164" s="1041" t="s">
        <v>2113</v>
      </c>
      <c r="B164" s="589" t="s">
        <v>5045</v>
      </c>
      <c r="C164" s="110">
        <v>670</v>
      </c>
      <c r="D164" s="589" t="s">
        <v>6844</v>
      </c>
      <c r="E164" s="638"/>
      <c r="F164" s="149" t="s">
        <v>840</v>
      </c>
      <c r="G164" s="84" t="s">
        <v>4986</v>
      </c>
      <c r="H164" s="84"/>
      <c r="I164" s="124"/>
      <c r="J164" s="89">
        <v>839</v>
      </c>
      <c r="K164" s="396" t="s">
        <v>4830</v>
      </c>
      <c r="L164" s="265">
        <v>1542554.3622999999</v>
      </c>
      <c r="M164" s="265">
        <v>5243227.4823000003</v>
      </c>
      <c r="N164" s="109" t="s">
        <v>993</v>
      </c>
      <c r="O164" s="109" t="s">
        <v>5</v>
      </c>
      <c r="P164" s="109">
        <v>1</v>
      </c>
      <c r="Q164" s="109" t="s">
        <v>9236</v>
      </c>
      <c r="R164" s="396" t="s">
        <v>4826</v>
      </c>
      <c r="S164" s="90" t="s">
        <v>85</v>
      </c>
      <c r="T164" s="446" t="s">
        <v>4825</v>
      </c>
      <c r="U164" s="208" t="s">
        <v>4820</v>
      </c>
      <c r="V164" s="208" t="s">
        <v>2116</v>
      </c>
      <c r="W164" s="208" t="s">
        <v>37</v>
      </c>
      <c r="X164" s="209">
        <v>44229</v>
      </c>
      <c r="Y164" s="208"/>
      <c r="Z164" s="364"/>
      <c r="AA164" s="1109"/>
    </row>
    <row r="165" spans="1:27" s="869" customFormat="1" ht="52.5" thickBot="1" x14ac:dyDescent="0.3">
      <c r="A165" s="818" t="s">
        <v>2082</v>
      </c>
      <c r="B165" s="1113" t="s">
        <v>2082</v>
      </c>
      <c r="C165" s="689">
        <v>714</v>
      </c>
      <c r="D165" s="779" t="s">
        <v>408</v>
      </c>
      <c r="E165" s="779" t="s">
        <v>52</v>
      </c>
      <c r="F165" s="819" t="s">
        <v>2083</v>
      </c>
      <c r="G165" s="689" t="s">
        <v>6840</v>
      </c>
      <c r="H165" s="689"/>
      <c r="I165" s="878"/>
      <c r="J165" s="689">
        <v>4094</v>
      </c>
      <c r="K165" s="690" t="s">
        <v>6768</v>
      </c>
      <c r="L165" s="973">
        <v>1385545.408639</v>
      </c>
      <c r="M165" s="973">
        <v>5053497.2492629997</v>
      </c>
      <c r="N165" s="692" t="s">
        <v>7985</v>
      </c>
      <c r="O165" s="692" t="s">
        <v>2090</v>
      </c>
      <c r="P165" s="689">
        <v>1</v>
      </c>
      <c r="Q165" s="819" t="s">
        <v>9901</v>
      </c>
      <c r="R165" s="690" t="s">
        <v>9237</v>
      </c>
      <c r="S165" s="691" t="s">
        <v>16</v>
      </c>
      <c r="T165" s="368" t="s">
        <v>7984</v>
      </c>
      <c r="U165" s="92" t="s">
        <v>9900</v>
      </c>
      <c r="V165" s="92" t="s">
        <v>2061</v>
      </c>
      <c r="W165" s="92" t="s">
        <v>6372</v>
      </c>
      <c r="X165" s="93">
        <v>44305</v>
      </c>
      <c r="Y165" s="92"/>
      <c r="Z165" s="93">
        <v>44379</v>
      </c>
      <c r="AA165" s="1108" t="s">
        <v>37</v>
      </c>
    </row>
    <row r="166" spans="1:27" s="869" customFormat="1" ht="39" x14ac:dyDescent="0.25">
      <c r="A166" s="487" t="s">
        <v>2877</v>
      </c>
      <c r="B166" s="128" t="s">
        <v>2877</v>
      </c>
      <c r="C166" s="72">
        <v>540</v>
      </c>
      <c r="D166" s="586" t="s">
        <v>52</v>
      </c>
      <c r="E166" s="586" t="s">
        <v>53</v>
      </c>
      <c r="F166" s="140" t="s">
        <v>6841</v>
      </c>
      <c r="G166" s="72" t="s">
        <v>1973</v>
      </c>
      <c r="H166" s="72"/>
      <c r="I166" s="586"/>
      <c r="J166" s="187">
        <v>4035</v>
      </c>
      <c r="K166" s="73" t="s">
        <v>6522</v>
      </c>
      <c r="L166" s="914">
        <v>1425490.5006500001</v>
      </c>
      <c r="M166" s="914">
        <v>5140015.26516</v>
      </c>
      <c r="N166" s="72">
        <v>2.2000000000000002</v>
      </c>
      <c r="O166" s="72" t="s">
        <v>193</v>
      </c>
      <c r="P166" s="72">
        <v>3</v>
      </c>
      <c r="Q166" s="72">
        <v>2.2000000000000002</v>
      </c>
      <c r="R166" s="73" t="s">
        <v>7960</v>
      </c>
      <c r="S166" s="74" t="s">
        <v>16</v>
      </c>
      <c r="T166" s="30" t="s">
        <v>7961</v>
      </c>
      <c r="U166" s="40" t="s">
        <v>7962</v>
      </c>
      <c r="V166" s="40" t="s">
        <v>2886</v>
      </c>
      <c r="W166" s="40" t="s">
        <v>6372</v>
      </c>
      <c r="X166" s="41">
        <v>44250</v>
      </c>
      <c r="Y166" s="40"/>
      <c r="Z166" s="41">
        <v>44379</v>
      </c>
      <c r="AA166" s="652" t="s">
        <v>37</v>
      </c>
    </row>
    <row r="167" spans="1:27" s="869" customFormat="1" ht="39.75" thickBot="1" x14ac:dyDescent="0.3">
      <c r="A167" s="488"/>
      <c r="B167" s="131"/>
      <c r="C167" s="75"/>
      <c r="D167" s="568"/>
      <c r="E167" s="568"/>
      <c r="F167" s="143"/>
      <c r="G167" s="75"/>
      <c r="H167" s="75"/>
      <c r="I167" s="568"/>
      <c r="J167" s="188">
        <v>4036</v>
      </c>
      <c r="K167" s="76" t="s">
        <v>6529</v>
      </c>
      <c r="L167" s="915">
        <v>1423613.1939099999</v>
      </c>
      <c r="M167" s="915">
        <v>5154489.1139700003</v>
      </c>
      <c r="N167" s="75">
        <v>1</v>
      </c>
      <c r="O167" s="75" t="s">
        <v>193</v>
      </c>
      <c r="P167" s="75">
        <v>3</v>
      </c>
      <c r="Q167" s="75">
        <v>1</v>
      </c>
      <c r="R167" s="76" t="s">
        <v>4635</v>
      </c>
      <c r="S167" s="77" t="s">
        <v>16</v>
      </c>
      <c r="T167" s="45" t="s">
        <v>7963</v>
      </c>
      <c r="U167" s="46" t="s">
        <v>7964</v>
      </c>
      <c r="V167" s="46" t="s">
        <v>2886</v>
      </c>
      <c r="W167" s="46" t="s">
        <v>6372</v>
      </c>
      <c r="X167" s="47">
        <v>44250</v>
      </c>
      <c r="Y167" s="46"/>
      <c r="Z167" s="47">
        <v>44379</v>
      </c>
      <c r="AA167" s="1107" t="s">
        <v>37</v>
      </c>
    </row>
    <row r="168" spans="1:27" ht="39" x14ac:dyDescent="0.25">
      <c r="A168" s="341" t="s">
        <v>6382</v>
      </c>
      <c r="B168" s="181" t="s">
        <v>6382</v>
      </c>
      <c r="C168" s="125">
        <v>664</v>
      </c>
      <c r="D168" s="585" t="s">
        <v>53</v>
      </c>
      <c r="E168" s="585" t="s">
        <v>52</v>
      </c>
      <c r="F168" s="145" t="s">
        <v>8370</v>
      </c>
      <c r="G168" s="145" t="s">
        <v>1972</v>
      </c>
      <c r="H168" s="125" t="s">
        <v>3112</v>
      </c>
      <c r="I168" s="247" t="s">
        <v>8389</v>
      </c>
      <c r="J168" s="189">
        <v>5000</v>
      </c>
      <c r="K168" s="253">
        <v>98</v>
      </c>
      <c r="L168" s="911">
        <v>1521312.4</v>
      </c>
      <c r="M168" s="911">
        <v>5175219.1500000004</v>
      </c>
      <c r="N168" s="255">
        <v>0</v>
      </c>
      <c r="O168" s="255" t="s">
        <v>5</v>
      </c>
      <c r="P168" s="255">
        <v>1</v>
      </c>
      <c r="Q168" s="254">
        <v>0</v>
      </c>
      <c r="R168" s="253" t="s">
        <v>10022</v>
      </c>
      <c r="S168" s="256" t="s">
        <v>10</v>
      </c>
      <c r="T168" s="854" t="s">
        <v>8186</v>
      </c>
      <c r="U168" s="40" t="s">
        <v>9998</v>
      </c>
      <c r="V168" s="40" t="s">
        <v>8165</v>
      </c>
      <c r="W168" s="40" t="s">
        <v>37</v>
      </c>
      <c r="X168" s="41">
        <v>44421</v>
      </c>
      <c r="Y168" s="40"/>
      <c r="Z168" s="54"/>
      <c r="AA168" s="652"/>
    </row>
    <row r="169" spans="1:27" ht="39" x14ac:dyDescent="0.25">
      <c r="A169" s="339"/>
      <c r="B169" s="338"/>
      <c r="C169" s="277"/>
      <c r="D169" s="565"/>
      <c r="E169" s="565"/>
      <c r="F169" s="1005"/>
      <c r="G169" s="277"/>
      <c r="H169" s="277"/>
      <c r="I169" s="880"/>
      <c r="J169" s="191">
        <v>5001</v>
      </c>
      <c r="K169" s="366">
        <v>11</v>
      </c>
      <c r="L169" s="938">
        <v>1521892.58</v>
      </c>
      <c r="M169" s="938">
        <v>5174678.88</v>
      </c>
      <c r="N169" s="275" t="s">
        <v>9313</v>
      </c>
      <c r="O169" s="275" t="s">
        <v>61</v>
      </c>
      <c r="P169" s="275" t="s">
        <v>419</v>
      </c>
      <c r="Q169" s="320" t="s">
        <v>9807</v>
      </c>
      <c r="R169" s="366" t="s">
        <v>9314</v>
      </c>
      <c r="S169" s="373" t="s">
        <v>10</v>
      </c>
      <c r="T169" s="855" t="s">
        <v>9315</v>
      </c>
      <c r="U169" s="3" t="s">
        <v>9316</v>
      </c>
      <c r="V169" s="3" t="s">
        <v>8165</v>
      </c>
      <c r="W169" s="3" t="s">
        <v>37</v>
      </c>
      <c r="X169" s="186">
        <v>44421</v>
      </c>
      <c r="AA169" s="1107"/>
    </row>
    <row r="170" spans="1:27" ht="26.25" x14ac:dyDescent="0.25">
      <c r="A170" s="339"/>
      <c r="B170" s="338"/>
      <c r="C170" s="277"/>
      <c r="D170" s="565"/>
      <c r="E170" s="565"/>
      <c r="F170" s="1005"/>
      <c r="G170" s="277"/>
      <c r="H170" s="277"/>
      <c r="I170" s="880"/>
      <c r="J170" s="191">
        <v>5002</v>
      </c>
      <c r="K170" s="366" t="s">
        <v>8190</v>
      </c>
      <c r="L170" s="938">
        <v>1522166.52</v>
      </c>
      <c r="M170" s="938">
        <v>5174432.45</v>
      </c>
      <c r="N170" s="275" t="s">
        <v>8189</v>
      </c>
      <c r="O170" s="275" t="s">
        <v>5</v>
      </c>
      <c r="P170" s="275">
        <v>1</v>
      </c>
      <c r="Q170" s="275" t="s">
        <v>9999</v>
      </c>
      <c r="R170" s="366" t="s">
        <v>10001</v>
      </c>
      <c r="S170" s="373" t="s">
        <v>10</v>
      </c>
      <c r="T170" s="855" t="s">
        <v>8176</v>
      </c>
      <c r="U170" s="3" t="s">
        <v>8544</v>
      </c>
      <c r="V170" s="3" t="s">
        <v>8165</v>
      </c>
      <c r="W170" s="3" t="s">
        <v>37</v>
      </c>
      <c r="X170" s="186">
        <v>44421</v>
      </c>
      <c r="AA170" s="1107"/>
    </row>
    <row r="171" spans="1:27" ht="26.25" x14ac:dyDescent="0.25">
      <c r="A171" s="339"/>
      <c r="B171" s="338"/>
      <c r="C171" s="277"/>
      <c r="D171" s="565"/>
      <c r="E171" s="565"/>
      <c r="F171" s="1005"/>
      <c r="G171" s="277"/>
      <c r="H171" s="277"/>
      <c r="I171" s="880"/>
      <c r="J171" s="191">
        <v>5003</v>
      </c>
      <c r="K171" s="366" t="s">
        <v>8193</v>
      </c>
      <c r="L171" s="938">
        <v>1522166.52</v>
      </c>
      <c r="M171" s="938">
        <v>5174432.45</v>
      </c>
      <c r="N171" s="275" t="s">
        <v>8194</v>
      </c>
      <c r="O171" s="275" t="s">
        <v>5</v>
      </c>
      <c r="P171" s="275">
        <v>1</v>
      </c>
      <c r="Q171" s="275" t="s">
        <v>10000</v>
      </c>
      <c r="R171" s="366" t="s">
        <v>10001</v>
      </c>
      <c r="S171" s="373" t="s">
        <v>10</v>
      </c>
      <c r="T171" s="855" t="s">
        <v>8176</v>
      </c>
      <c r="U171" s="3" t="s">
        <v>8547</v>
      </c>
      <c r="V171" s="3" t="s">
        <v>8165</v>
      </c>
      <c r="W171" s="3" t="s">
        <v>37</v>
      </c>
      <c r="X171" s="186">
        <v>44421</v>
      </c>
      <c r="AA171" s="1107"/>
    </row>
    <row r="172" spans="1:27" ht="39" x14ac:dyDescent="0.25">
      <c r="A172" s="339"/>
      <c r="B172" s="338"/>
      <c r="C172" s="277"/>
      <c r="D172" s="565"/>
      <c r="E172" s="565"/>
      <c r="F172" s="1005"/>
      <c r="G172" s="277"/>
      <c r="H172" s="277"/>
      <c r="I172" s="880"/>
      <c r="J172" s="191">
        <v>5004</v>
      </c>
      <c r="K172" s="366" t="s">
        <v>8191</v>
      </c>
      <c r="L172" s="938">
        <v>1522166.52</v>
      </c>
      <c r="M172" s="938">
        <v>5174432.45</v>
      </c>
      <c r="N172" s="275" t="s">
        <v>8192</v>
      </c>
      <c r="O172" s="275" t="s">
        <v>5</v>
      </c>
      <c r="P172" s="275">
        <v>1</v>
      </c>
      <c r="Q172" s="275" t="s">
        <v>8192</v>
      </c>
      <c r="R172" s="366" t="s">
        <v>10073</v>
      </c>
      <c r="S172" s="373" t="s">
        <v>10</v>
      </c>
      <c r="T172" s="855" t="s">
        <v>8176</v>
      </c>
      <c r="U172" s="3" t="s">
        <v>8544</v>
      </c>
      <c r="V172" s="3" t="s">
        <v>8165</v>
      </c>
      <c r="W172" s="3" t="s">
        <v>37</v>
      </c>
      <c r="X172" s="186">
        <v>44421</v>
      </c>
      <c r="AA172" s="1107"/>
    </row>
    <row r="173" spans="1:27" ht="26.25" x14ac:dyDescent="0.25">
      <c r="A173" s="339"/>
      <c r="B173" s="338"/>
      <c r="C173" s="277"/>
      <c r="D173" s="565"/>
      <c r="E173" s="565"/>
      <c r="F173" s="1005"/>
      <c r="G173" s="277"/>
      <c r="H173" s="277"/>
      <c r="I173" s="880"/>
      <c r="J173" s="191">
        <v>5005</v>
      </c>
      <c r="K173" s="366" t="s">
        <v>8188</v>
      </c>
      <c r="L173" s="938">
        <v>1522166.52</v>
      </c>
      <c r="M173" s="938">
        <v>5174432.45</v>
      </c>
      <c r="N173" s="275" t="s">
        <v>9317</v>
      </c>
      <c r="O173" s="275" t="s">
        <v>61</v>
      </c>
      <c r="P173" s="275" t="s">
        <v>419</v>
      </c>
      <c r="Q173" s="320" t="s">
        <v>9808</v>
      </c>
      <c r="R173" s="366" t="s">
        <v>9314</v>
      </c>
      <c r="S173" s="373" t="s">
        <v>10</v>
      </c>
      <c r="T173" s="855"/>
      <c r="U173" s="3" t="s">
        <v>8550</v>
      </c>
      <c r="V173" s="3" t="s">
        <v>8165</v>
      </c>
      <c r="W173" s="3" t="s">
        <v>37</v>
      </c>
      <c r="X173" s="186">
        <v>44421</v>
      </c>
      <c r="AA173" s="1107"/>
    </row>
    <row r="174" spans="1:27" ht="39" x14ac:dyDescent="0.25">
      <c r="A174" s="339"/>
      <c r="B174" s="338"/>
      <c r="C174" s="277"/>
      <c r="D174" s="565"/>
      <c r="E174" s="565"/>
      <c r="F174" s="1005"/>
      <c r="G174" s="277"/>
      <c r="H174" s="277"/>
      <c r="I174" s="880"/>
      <c r="J174" s="191">
        <v>5006</v>
      </c>
      <c r="K174" s="366">
        <v>9</v>
      </c>
      <c r="L174" s="938">
        <v>1522846.32</v>
      </c>
      <c r="M174" s="938">
        <v>5173672.45</v>
      </c>
      <c r="N174" s="275" t="s">
        <v>8167</v>
      </c>
      <c r="O174" s="275" t="s">
        <v>5</v>
      </c>
      <c r="P174" s="275">
        <v>1</v>
      </c>
      <c r="Q174" s="108" t="s">
        <v>10071</v>
      </c>
      <c r="R174" s="366" t="s">
        <v>10072</v>
      </c>
      <c r="S174" s="373" t="s">
        <v>10</v>
      </c>
      <c r="T174" s="855" t="s">
        <v>8176</v>
      </c>
      <c r="U174" s="3" t="s">
        <v>8544</v>
      </c>
      <c r="V174" s="3" t="s">
        <v>8165</v>
      </c>
      <c r="W174" s="3" t="s">
        <v>37</v>
      </c>
      <c r="X174" s="186">
        <v>44421</v>
      </c>
      <c r="AA174" s="1107"/>
    </row>
    <row r="175" spans="1:27" ht="26.25" x14ac:dyDescent="0.25">
      <c r="A175" s="339"/>
      <c r="B175" s="338"/>
      <c r="C175" s="277"/>
      <c r="D175" s="565"/>
      <c r="E175" s="565"/>
      <c r="F175" s="1005"/>
      <c r="G175" s="277"/>
      <c r="H175" s="277"/>
      <c r="I175" s="880"/>
      <c r="J175" s="191">
        <v>5007</v>
      </c>
      <c r="K175" s="366">
        <v>8</v>
      </c>
      <c r="L175" s="938">
        <v>1522915.17</v>
      </c>
      <c r="M175" s="938">
        <v>5173610.5999999996</v>
      </c>
      <c r="N175" s="275" t="s">
        <v>8166</v>
      </c>
      <c r="O175" s="275" t="s">
        <v>5</v>
      </c>
      <c r="P175" s="275">
        <v>1</v>
      </c>
      <c r="Q175" s="320" t="s">
        <v>9809</v>
      </c>
      <c r="R175" s="366" t="s">
        <v>9318</v>
      </c>
      <c r="S175" s="373" t="s">
        <v>10</v>
      </c>
      <c r="T175" s="855" t="s">
        <v>8176</v>
      </c>
      <c r="U175" s="3" t="s">
        <v>8544</v>
      </c>
      <c r="V175" s="3" t="s">
        <v>8165</v>
      </c>
      <c r="W175" s="3" t="s">
        <v>37</v>
      </c>
      <c r="X175" s="186">
        <v>44421</v>
      </c>
      <c r="AA175" s="1107"/>
    </row>
    <row r="176" spans="1:27" ht="26.25" x14ac:dyDescent="0.25">
      <c r="A176" s="339"/>
      <c r="B176" s="338"/>
      <c r="C176" s="277"/>
      <c r="D176" s="565"/>
      <c r="E176" s="565"/>
      <c r="F176" s="1005"/>
      <c r="G176" s="277"/>
      <c r="H176" s="277"/>
      <c r="I176" s="880"/>
      <c r="J176" s="191">
        <v>5008</v>
      </c>
      <c r="K176" s="366" t="s">
        <v>8339</v>
      </c>
      <c r="L176" s="938">
        <v>1523247.45</v>
      </c>
      <c r="M176" s="938">
        <v>5173429.3600000003</v>
      </c>
      <c r="N176" s="275" t="s">
        <v>8340</v>
      </c>
      <c r="O176" s="275" t="s">
        <v>5</v>
      </c>
      <c r="P176" s="275">
        <v>1</v>
      </c>
      <c r="Q176" s="320" t="s">
        <v>9810</v>
      </c>
      <c r="R176" s="366" t="s">
        <v>9318</v>
      </c>
      <c r="S176" s="373" t="s">
        <v>10</v>
      </c>
      <c r="T176" s="855" t="s">
        <v>8331</v>
      </c>
      <c r="U176" s="3" t="s">
        <v>8544</v>
      </c>
      <c r="V176" s="3" t="s">
        <v>8165</v>
      </c>
      <c r="W176" s="3" t="s">
        <v>37</v>
      </c>
      <c r="X176" s="186">
        <v>44421</v>
      </c>
      <c r="AA176" s="1107"/>
    </row>
    <row r="177" spans="1:27" ht="26.25" x14ac:dyDescent="0.25">
      <c r="A177" s="339"/>
      <c r="B177" s="338"/>
      <c r="C177" s="277"/>
      <c r="D177" s="565"/>
      <c r="E177" s="565"/>
      <c r="F177" s="1005"/>
      <c r="G177" s="277"/>
      <c r="H177" s="277"/>
      <c r="I177" s="880"/>
      <c r="J177" s="191">
        <v>5009</v>
      </c>
      <c r="K177" s="366" t="s">
        <v>8337</v>
      </c>
      <c r="L177" s="938">
        <v>1523248.97</v>
      </c>
      <c r="M177" s="938">
        <v>5173428.92</v>
      </c>
      <c r="N177" s="275" t="s">
        <v>8338</v>
      </c>
      <c r="O177" s="275" t="s">
        <v>5</v>
      </c>
      <c r="P177" s="275">
        <v>1</v>
      </c>
      <c r="Q177" s="108" t="s">
        <v>10028</v>
      </c>
      <c r="R177" s="366" t="s">
        <v>10001</v>
      </c>
      <c r="S177" s="373" t="s">
        <v>10</v>
      </c>
      <c r="T177" s="855" t="s">
        <v>8176</v>
      </c>
      <c r="U177" s="3" t="s">
        <v>8544</v>
      </c>
      <c r="V177" s="3" t="s">
        <v>8165</v>
      </c>
      <c r="W177" s="3" t="s">
        <v>37</v>
      </c>
      <c r="X177" s="186">
        <v>44421</v>
      </c>
      <c r="AA177" s="1107"/>
    </row>
    <row r="178" spans="1:27" ht="26.25" x14ac:dyDescent="0.25">
      <c r="A178" s="339"/>
      <c r="B178" s="338"/>
      <c r="C178" s="277"/>
      <c r="D178" s="565"/>
      <c r="E178" s="565"/>
      <c r="F178" s="1005"/>
      <c r="G178" s="277"/>
      <c r="H178" s="277"/>
      <c r="I178" s="880"/>
      <c r="J178" s="191">
        <v>5010</v>
      </c>
      <c r="K178" s="366" t="s">
        <v>8341</v>
      </c>
      <c r="L178" s="938">
        <v>1523249.95</v>
      </c>
      <c r="M178" s="938">
        <v>5173428.63</v>
      </c>
      <c r="N178" s="275" t="s">
        <v>9319</v>
      </c>
      <c r="O178" s="275" t="s">
        <v>61</v>
      </c>
      <c r="P178" s="275" t="s">
        <v>419</v>
      </c>
      <c r="Q178" s="320" t="s">
        <v>9811</v>
      </c>
      <c r="R178" s="366" t="s">
        <v>9314</v>
      </c>
      <c r="S178" s="373" t="s">
        <v>10</v>
      </c>
      <c r="T178" s="855"/>
      <c r="U178" s="3" t="s">
        <v>8550</v>
      </c>
      <c r="V178" s="3" t="s">
        <v>8165</v>
      </c>
      <c r="W178" s="3" t="s">
        <v>37</v>
      </c>
      <c r="X178" s="186">
        <v>44421</v>
      </c>
      <c r="AA178" s="1107"/>
    </row>
    <row r="179" spans="1:27" ht="26.25" x14ac:dyDescent="0.25">
      <c r="A179" s="339"/>
      <c r="B179" s="338"/>
      <c r="C179" s="277"/>
      <c r="D179" s="565"/>
      <c r="E179" s="565"/>
      <c r="F179" s="1005"/>
      <c r="G179" s="277"/>
      <c r="H179" s="277"/>
      <c r="I179" s="880"/>
      <c r="J179" s="191">
        <v>5011</v>
      </c>
      <c r="K179" s="366" t="s">
        <v>8335</v>
      </c>
      <c r="L179" s="938">
        <v>1523252.27</v>
      </c>
      <c r="M179" s="938">
        <v>5173427.95</v>
      </c>
      <c r="N179" s="275" t="s">
        <v>8336</v>
      </c>
      <c r="O179" s="275" t="s">
        <v>5</v>
      </c>
      <c r="P179" s="275">
        <v>1</v>
      </c>
      <c r="Q179" s="108" t="s">
        <v>10070</v>
      </c>
      <c r="R179" s="366" t="s">
        <v>10001</v>
      </c>
      <c r="S179" s="373" t="s">
        <v>10</v>
      </c>
      <c r="T179" s="855" t="s">
        <v>8176</v>
      </c>
      <c r="U179" s="3" t="s">
        <v>8544</v>
      </c>
      <c r="V179" s="3" t="s">
        <v>8165</v>
      </c>
      <c r="W179" s="3" t="s">
        <v>37</v>
      </c>
      <c r="X179" s="186">
        <v>44421</v>
      </c>
      <c r="AA179" s="1107"/>
    </row>
    <row r="180" spans="1:27" ht="39" x14ac:dyDescent="0.25">
      <c r="A180" s="339"/>
      <c r="B180" s="338"/>
      <c r="C180" s="277"/>
      <c r="D180" s="565"/>
      <c r="E180" s="565"/>
      <c r="F180" s="1005"/>
      <c r="G180" s="277"/>
      <c r="H180" s="277"/>
      <c r="I180" s="880"/>
      <c r="J180" s="191">
        <v>5012</v>
      </c>
      <c r="K180" s="366">
        <v>6</v>
      </c>
      <c r="L180" s="938">
        <v>1523643.03</v>
      </c>
      <c r="M180" s="938">
        <v>5173310.1500000004</v>
      </c>
      <c r="N180" s="275" t="s">
        <v>9320</v>
      </c>
      <c r="O180" s="275" t="s">
        <v>61</v>
      </c>
      <c r="P180" s="275" t="s">
        <v>419</v>
      </c>
      <c r="Q180" s="320" t="s">
        <v>5726</v>
      </c>
      <c r="R180" s="366" t="s">
        <v>9314</v>
      </c>
      <c r="S180" s="373" t="s">
        <v>10</v>
      </c>
      <c r="T180" s="855" t="s">
        <v>9315</v>
      </c>
      <c r="U180" s="3" t="s">
        <v>9316</v>
      </c>
      <c r="V180" s="3" t="s">
        <v>8165</v>
      </c>
      <c r="W180" s="3" t="s">
        <v>37</v>
      </c>
      <c r="X180" s="186">
        <v>44421</v>
      </c>
      <c r="AA180" s="1107"/>
    </row>
    <row r="181" spans="1:27" ht="39" x14ac:dyDescent="0.25">
      <c r="A181" s="339"/>
      <c r="B181" s="338"/>
      <c r="C181" s="277"/>
      <c r="D181" s="565"/>
      <c r="E181" s="565"/>
      <c r="F181" s="1005"/>
      <c r="G181" s="277"/>
      <c r="H181" s="277"/>
      <c r="I181" s="880"/>
      <c r="J181" s="191">
        <v>5013</v>
      </c>
      <c r="K181" s="366">
        <v>4</v>
      </c>
      <c r="L181" s="938">
        <v>1524697.48</v>
      </c>
      <c r="M181" s="938">
        <v>5172874.67</v>
      </c>
      <c r="N181" s="275" t="s">
        <v>9321</v>
      </c>
      <c r="O181" s="275" t="s">
        <v>61</v>
      </c>
      <c r="P181" s="275" t="s">
        <v>419</v>
      </c>
      <c r="Q181" s="320" t="s">
        <v>9812</v>
      </c>
      <c r="R181" s="366" t="s">
        <v>9314</v>
      </c>
      <c r="S181" s="373" t="s">
        <v>10</v>
      </c>
      <c r="T181" s="855" t="s">
        <v>9315</v>
      </c>
      <c r="U181" s="3" t="s">
        <v>9316</v>
      </c>
      <c r="V181" s="3" t="s">
        <v>8165</v>
      </c>
      <c r="W181" s="3" t="s">
        <v>37</v>
      </c>
      <c r="X181" s="186">
        <v>44421</v>
      </c>
      <c r="AA181" s="1107"/>
    </row>
    <row r="182" spans="1:27" ht="39" x14ac:dyDescent="0.25">
      <c r="A182" s="339"/>
      <c r="B182" s="338"/>
      <c r="C182" s="277"/>
      <c r="D182" s="565"/>
      <c r="E182" s="565"/>
      <c r="F182" s="1005"/>
      <c r="G182" s="277"/>
      <c r="H182" s="277"/>
      <c r="I182" s="880"/>
      <c r="J182" s="191">
        <v>5014</v>
      </c>
      <c r="K182" s="366">
        <v>3</v>
      </c>
      <c r="L182" s="938">
        <v>1526227.48</v>
      </c>
      <c r="M182" s="938">
        <v>5172706.84</v>
      </c>
      <c r="N182" s="275" t="s">
        <v>9322</v>
      </c>
      <c r="O182" s="275" t="s">
        <v>61</v>
      </c>
      <c r="P182" s="275" t="s">
        <v>419</v>
      </c>
      <c r="Q182" s="320" t="s">
        <v>8530</v>
      </c>
      <c r="R182" s="366" t="s">
        <v>9314</v>
      </c>
      <c r="S182" s="373" t="s">
        <v>10</v>
      </c>
      <c r="T182" s="855" t="s">
        <v>9315</v>
      </c>
      <c r="U182" s="3" t="s">
        <v>9316</v>
      </c>
      <c r="V182" s="3" t="s">
        <v>8165</v>
      </c>
      <c r="W182" s="3" t="s">
        <v>37</v>
      </c>
      <c r="X182" s="186">
        <v>44421</v>
      </c>
      <c r="AA182" s="1107"/>
    </row>
    <row r="183" spans="1:27" ht="39" x14ac:dyDescent="0.25">
      <c r="A183" s="339"/>
      <c r="B183" s="338"/>
      <c r="C183" s="277"/>
      <c r="D183" s="565"/>
      <c r="E183" s="565"/>
      <c r="F183" s="1005"/>
      <c r="G183" s="277"/>
      <c r="H183" s="277"/>
      <c r="I183" s="880"/>
      <c r="J183" s="191">
        <v>5015</v>
      </c>
      <c r="K183" s="366">
        <v>2</v>
      </c>
      <c r="L183" s="938">
        <v>1526991.76</v>
      </c>
      <c r="M183" s="938">
        <v>5172680.57</v>
      </c>
      <c r="N183" s="275" t="s">
        <v>9322</v>
      </c>
      <c r="O183" s="275" t="s">
        <v>61</v>
      </c>
      <c r="P183" s="275" t="s">
        <v>419</v>
      </c>
      <c r="Q183" s="320" t="s">
        <v>9813</v>
      </c>
      <c r="R183" s="366" t="s">
        <v>9314</v>
      </c>
      <c r="S183" s="373" t="s">
        <v>10</v>
      </c>
      <c r="T183" s="855" t="s">
        <v>9315</v>
      </c>
      <c r="U183" s="3" t="s">
        <v>9316</v>
      </c>
      <c r="V183" s="3" t="s">
        <v>8165</v>
      </c>
      <c r="W183" s="3" t="s">
        <v>37</v>
      </c>
      <c r="X183" s="186">
        <v>44421</v>
      </c>
      <c r="AA183" s="1107"/>
    </row>
    <row r="184" spans="1:27" ht="26.25" x14ac:dyDescent="0.25">
      <c r="A184" s="339"/>
      <c r="B184" s="338"/>
      <c r="C184" s="277"/>
      <c r="D184" s="565"/>
      <c r="E184" s="565"/>
      <c r="F184" s="1005"/>
      <c r="G184" s="277"/>
      <c r="H184" s="277"/>
      <c r="I184" s="880"/>
      <c r="J184" s="191">
        <v>5016</v>
      </c>
      <c r="K184" s="366" t="s">
        <v>8196</v>
      </c>
      <c r="L184" s="938">
        <v>1527310.08</v>
      </c>
      <c r="M184" s="938">
        <v>5172643.8</v>
      </c>
      <c r="N184" s="320" t="s">
        <v>1703</v>
      </c>
      <c r="O184" s="320" t="s">
        <v>5</v>
      </c>
      <c r="P184" s="320">
        <v>1</v>
      </c>
      <c r="Q184" s="108" t="s">
        <v>10069</v>
      </c>
      <c r="R184" s="366" t="s">
        <v>10001</v>
      </c>
      <c r="S184" s="373" t="s">
        <v>10</v>
      </c>
      <c r="T184" s="855" t="s">
        <v>8176</v>
      </c>
      <c r="U184" s="3" t="s">
        <v>8544</v>
      </c>
      <c r="V184" s="3" t="s">
        <v>8165</v>
      </c>
      <c r="W184" s="3" t="s">
        <v>37</v>
      </c>
      <c r="X184" s="186">
        <v>44421</v>
      </c>
      <c r="AA184" s="1107"/>
    </row>
    <row r="185" spans="1:27" ht="26.25" x14ac:dyDescent="0.25">
      <c r="A185" s="339"/>
      <c r="B185" s="338"/>
      <c r="C185" s="277"/>
      <c r="D185" s="565"/>
      <c r="E185" s="565"/>
      <c r="F185" s="1005"/>
      <c r="G185" s="277"/>
      <c r="H185" s="277"/>
      <c r="I185" s="880"/>
      <c r="J185" s="191">
        <v>5017</v>
      </c>
      <c r="K185" s="366" t="s">
        <v>8197</v>
      </c>
      <c r="L185" s="938">
        <v>1527310.08</v>
      </c>
      <c r="M185" s="938">
        <v>5172643.8</v>
      </c>
      <c r="N185" s="275" t="s">
        <v>1187</v>
      </c>
      <c r="O185" s="275" t="s">
        <v>5</v>
      </c>
      <c r="P185" s="275">
        <v>1</v>
      </c>
      <c r="Q185" s="108" t="s">
        <v>10003</v>
      </c>
      <c r="R185" s="366" t="s">
        <v>10001</v>
      </c>
      <c r="S185" s="373" t="s">
        <v>10</v>
      </c>
      <c r="T185" s="855" t="s">
        <v>8176</v>
      </c>
      <c r="U185" s="3" t="s">
        <v>8547</v>
      </c>
      <c r="V185" s="3" t="s">
        <v>8165</v>
      </c>
      <c r="W185" s="3" t="s">
        <v>37</v>
      </c>
      <c r="X185" s="186">
        <v>44421</v>
      </c>
      <c r="AA185" s="1107"/>
    </row>
    <row r="186" spans="1:27" ht="26.25" x14ac:dyDescent="0.25">
      <c r="A186" s="339"/>
      <c r="B186" s="338"/>
      <c r="C186" s="277"/>
      <c r="D186" s="565"/>
      <c r="E186" s="565"/>
      <c r="F186" s="1005"/>
      <c r="G186" s="277"/>
      <c r="H186" s="277"/>
      <c r="I186" s="880"/>
      <c r="J186" s="191">
        <v>5018</v>
      </c>
      <c r="K186" s="366" t="s">
        <v>8195</v>
      </c>
      <c r="L186" s="938">
        <v>1527310.08</v>
      </c>
      <c r="M186" s="938">
        <v>5172643.8</v>
      </c>
      <c r="N186" s="275" t="s">
        <v>9323</v>
      </c>
      <c r="O186" s="275" t="s">
        <v>61</v>
      </c>
      <c r="P186" s="275" t="s">
        <v>419</v>
      </c>
      <c r="Q186" s="320" t="s">
        <v>9811</v>
      </c>
      <c r="R186" s="366" t="s">
        <v>9314</v>
      </c>
      <c r="S186" s="373" t="s">
        <v>10</v>
      </c>
      <c r="T186" s="855"/>
      <c r="U186" s="3" t="s">
        <v>8550</v>
      </c>
      <c r="V186" s="3" t="s">
        <v>8165</v>
      </c>
      <c r="W186" s="3" t="s">
        <v>37</v>
      </c>
      <c r="X186" s="186">
        <v>44421</v>
      </c>
      <c r="AA186" s="1107"/>
    </row>
    <row r="187" spans="1:27" ht="39" x14ac:dyDescent="0.25">
      <c r="A187" s="339"/>
      <c r="B187" s="338"/>
      <c r="C187" s="277"/>
      <c r="D187" s="565"/>
      <c r="E187" s="565"/>
      <c r="F187" s="1005"/>
      <c r="G187" s="277"/>
      <c r="H187" s="277"/>
      <c r="I187" s="880"/>
      <c r="J187" s="191">
        <v>5019</v>
      </c>
      <c r="K187" s="366">
        <v>12</v>
      </c>
      <c r="L187" s="938">
        <v>1527436.69</v>
      </c>
      <c r="M187" s="938">
        <v>5172632.5199999996</v>
      </c>
      <c r="N187" s="275" t="s">
        <v>9324</v>
      </c>
      <c r="O187" s="275" t="s">
        <v>61</v>
      </c>
      <c r="P187" s="275" t="s">
        <v>419</v>
      </c>
      <c r="Q187" s="320" t="s">
        <v>9814</v>
      </c>
      <c r="R187" s="366" t="s">
        <v>9314</v>
      </c>
      <c r="S187" s="373" t="s">
        <v>10</v>
      </c>
      <c r="T187" s="855" t="s">
        <v>9325</v>
      </c>
      <c r="U187" s="3" t="s">
        <v>9316</v>
      </c>
      <c r="V187" s="3" t="s">
        <v>8165</v>
      </c>
      <c r="W187" s="3" t="s">
        <v>37</v>
      </c>
      <c r="X187" s="186">
        <v>44421</v>
      </c>
      <c r="AA187" s="1107"/>
    </row>
    <row r="188" spans="1:27" ht="39" x14ac:dyDescent="0.25">
      <c r="A188" s="339"/>
      <c r="B188" s="338"/>
      <c r="C188" s="277"/>
      <c r="D188" s="565"/>
      <c r="E188" s="565"/>
      <c r="F188" s="1005"/>
      <c r="G188" s="277"/>
      <c r="H188" s="277"/>
      <c r="I188" s="880"/>
      <c r="J188" s="191">
        <v>5020</v>
      </c>
      <c r="K188" s="366">
        <v>13</v>
      </c>
      <c r="L188" s="938">
        <v>1527525.99</v>
      </c>
      <c r="M188" s="938">
        <v>5172614.34</v>
      </c>
      <c r="N188" s="275" t="s">
        <v>9326</v>
      </c>
      <c r="O188" s="275" t="s">
        <v>61</v>
      </c>
      <c r="P188" s="275" t="s">
        <v>419</v>
      </c>
      <c r="Q188" s="320" t="s">
        <v>9815</v>
      </c>
      <c r="R188" s="366" t="s">
        <v>9314</v>
      </c>
      <c r="S188" s="373" t="s">
        <v>10</v>
      </c>
      <c r="T188" s="855" t="s">
        <v>9315</v>
      </c>
      <c r="U188" s="3" t="s">
        <v>9316</v>
      </c>
      <c r="V188" s="3" t="s">
        <v>8165</v>
      </c>
      <c r="W188" s="3" t="s">
        <v>37</v>
      </c>
      <c r="X188" s="186">
        <v>44421</v>
      </c>
      <c r="AA188" s="1107"/>
    </row>
    <row r="189" spans="1:27" ht="26.25" x14ac:dyDescent="0.25">
      <c r="A189" s="339"/>
      <c r="B189" s="338"/>
      <c r="C189" s="277"/>
      <c r="D189" s="565"/>
      <c r="E189" s="565"/>
      <c r="F189" s="1005"/>
      <c r="G189" s="277"/>
      <c r="H189" s="277"/>
      <c r="I189" s="880"/>
      <c r="J189" s="191">
        <v>5021</v>
      </c>
      <c r="K189" s="366">
        <v>14</v>
      </c>
      <c r="L189" s="938">
        <v>1527566.79</v>
      </c>
      <c r="M189" s="938">
        <v>5172609.41</v>
      </c>
      <c r="N189" s="275" t="s">
        <v>8168</v>
      </c>
      <c r="O189" s="275" t="s">
        <v>5</v>
      </c>
      <c r="P189" s="275">
        <v>1</v>
      </c>
      <c r="Q189" s="320" t="s">
        <v>9816</v>
      </c>
      <c r="R189" s="366" t="s">
        <v>9318</v>
      </c>
      <c r="S189" s="373" t="s">
        <v>10</v>
      </c>
      <c r="T189" s="855" t="s">
        <v>8366</v>
      </c>
      <c r="U189" s="3" t="s">
        <v>8549</v>
      </c>
      <c r="V189" s="3" t="s">
        <v>8165</v>
      </c>
      <c r="W189" s="3" t="s">
        <v>37</v>
      </c>
      <c r="X189" s="186">
        <v>44421</v>
      </c>
      <c r="AA189" s="1107"/>
    </row>
    <row r="190" spans="1:27" ht="26.25" x14ac:dyDescent="0.25">
      <c r="A190" s="339"/>
      <c r="B190" s="338"/>
      <c r="C190" s="277"/>
      <c r="D190" s="565"/>
      <c r="E190" s="565"/>
      <c r="F190" s="1005"/>
      <c r="G190" s="277"/>
      <c r="H190" s="277"/>
      <c r="I190" s="880"/>
      <c r="J190" s="191">
        <v>5022</v>
      </c>
      <c r="K190" s="366">
        <v>15</v>
      </c>
      <c r="L190" s="938">
        <v>1527571.64</v>
      </c>
      <c r="M190" s="938">
        <v>5172609.0199999996</v>
      </c>
      <c r="N190" s="275" t="s">
        <v>8169</v>
      </c>
      <c r="O190" s="275" t="s">
        <v>5</v>
      </c>
      <c r="P190" s="275">
        <v>1</v>
      </c>
      <c r="Q190" s="320" t="s">
        <v>9817</v>
      </c>
      <c r="R190" s="366" t="s">
        <v>9318</v>
      </c>
      <c r="S190" s="373" t="s">
        <v>10</v>
      </c>
      <c r="T190" s="855" t="s">
        <v>8367</v>
      </c>
      <c r="U190" s="3" t="s">
        <v>8549</v>
      </c>
      <c r="V190" s="3" t="s">
        <v>8165</v>
      </c>
      <c r="W190" s="3" t="s">
        <v>37</v>
      </c>
      <c r="X190" s="186">
        <v>44421</v>
      </c>
      <c r="AA190" s="1107"/>
    </row>
    <row r="191" spans="1:27" ht="26.25" x14ac:dyDescent="0.25">
      <c r="A191" s="339"/>
      <c r="B191" s="338"/>
      <c r="C191" s="277"/>
      <c r="D191" s="565"/>
      <c r="E191" s="565"/>
      <c r="F191" s="1005"/>
      <c r="G191" s="277"/>
      <c r="H191" s="277"/>
      <c r="I191" s="880"/>
      <c r="J191" s="191">
        <v>5023</v>
      </c>
      <c r="K191" s="366">
        <v>16</v>
      </c>
      <c r="L191" s="938">
        <v>1527608.19</v>
      </c>
      <c r="M191" s="938">
        <v>5172606.08</v>
      </c>
      <c r="N191" s="275" t="s">
        <v>8170</v>
      </c>
      <c r="O191" s="275" t="s">
        <v>5</v>
      </c>
      <c r="P191" s="275">
        <v>1</v>
      </c>
      <c r="Q191" s="320" t="s">
        <v>9818</v>
      </c>
      <c r="R191" s="366" t="s">
        <v>9318</v>
      </c>
      <c r="S191" s="373" t="s">
        <v>10</v>
      </c>
      <c r="T191" s="855" t="s">
        <v>8367</v>
      </c>
      <c r="U191" s="3" t="s">
        <v>8549</v>
      </c>
      <c r="V191" s="3" t="s">
        <v>8165</v>
      </c>
      <c r="W191" s="3" t="s">
        <v>37</v>
      </c>
      <c r="X191" s="186">
        <v>44421</v>
      </c>
      <c r="AA191" s="1107"/>
    </row>
    <row r="192" spans="1:27" ht="39" x14ac:dyDescent="0.25">
      <c r="A192" s="339"/>
      <c r="B192" s="338"/>
      <c r="C192" s="277"/>
      <c r="D192" s="565"/>
      <c r="E192" s="565"/>
      <c r="F192" s="1005"/>
      <c r="G192" s="277"/>
      <c r="H192" s="277"/>
      <c r="I192" s="880"/>
      <c r="J192" s="191">
        <v>5024</v>
      </c>
      <c r="K192" s="366">
        <v>17</v>
      </c>
      <c r="L192" s="938">
        <v>1527646.62</v>
      </c>
      <c r="M192" s="938">
        <v>5172602.99</v>
      </c>
      <c r="N192" s="275" t="s">
        <v>9327</v>
      </c>
      <c r="O192" s="275" t="s">
        <v>61</v>
      </c>
      <c r="P192" s="275" t="s">
        <v>419</v>
      </c>
      <c r="Q192" s="320" t="s">
        <v>9819</v>
      </c>
      <c r="R192" s="366" t="s">
        <v>9314</v>
      </c>
      <c r="S192" s="373" t="s">
        <v>10</v>
      </c>
      <c r="T192" s="855" t="s">
        <v>9328</v>
      </c>
      <c r="U192" s="3" t="s">
        <v>9329</v>
      </c>
      <c r="V192" s="3" t="s">
        <v>8165</v>
      </c>
      <c r="W192" s="3" t="s">
        <v>37</v>
      </c>
      <c r="X192" s="186">
        <v>44421</v>
      </c>
      <c r="AA192" s="1107"/>
    </row>
    <row r="193" spans="1:27" ht="39" x14ac:dyDescent="0.25">
      <c r="A193" s="339"/>
      <c r="B193" s="338"/>
      <c r="C193" s="277"/>
      <c r="D193" s="565"/>
      <c r="E193" s="565"/>
      <c r="F193" s="1005"/>
      <c r="G193" s="277"/>
      <c r="H193" s="277"/>
      <c r="I193" s="880"/>
      <c r="J193" s="191">
        <v>5025</v>
      </c>
      <c r="K193" s="366">
        <v>18</v>
      </c>
      <c r="L193" s="938">
        <v>1528109.26</v>
      </c>
      <c r="M193" s="938">
        <v>5172545.21</v>
      </c>
      <c r="N193" s="275" t="s">
        <v>9330</v>
      </c>
      <c r="O193" s="275" t="s">
        <v>61</v>
      </c>
      <c r="P193" s="275" t="s">
        <v>419</v>
      </c>
      <c r="Q193" s="320" t="s">
        <v>9820</v>
      </c>
      <c r="R193" s="366" t="s">
        <v>9314</v>
      </c>
      <c r="S193" s="373" t="s">
        <v>10</v>
      </c>
      <c r="T193" s="855" t="s">
        <v>9331</v>
      </c>
      <c r="U193" s="3" t="s">
        <v>9329</v>
      </c>
      <c r="V193" s="3" t="s">
        <v>8165</v>
      </c>
      <c r="W193" s="3" t="s">
        <v>37</v>
      </c>
      <c r="X193" s="186">
        <v>44421</v>
      </c>
      <c r="AA193" s="1107"/>
    </row>
    <row r="194" spans="1:27" ht="39" x14ac:dyDescent="0.25">
      <c r="A194" s="339"/>
      <c r="B194" s="338"/>
      <c r="C194" s="277"/>
      <c r="D194" s="565"/>
      <c r="E194" s="565"/>
      <c r="F194" s="1005"/>
      <c r="G194" s="277"/>
      <c r="H194" s="277"/>
      <c r="I194" s="880"/>
      <c r="J194" s="191">
        <v>5026</v>
      </c>
      <c r="K194" s="366">
        <v>19</v>
      </c>
      <c r="L194" s="938">
        <v>1528522.29</v>
      </c>
      <c r="M194" s="938">
        <v>5172595.58</v>
      </c>
      <c r="N194" s="275" t="s">
        <v>9332</v>
      </c>
      <c r="O194" s="275" t="s">
        <v>61</v>
      </c>
      <c r="P194" s="275" t="s">
        <v>419</v>
      </c>
      <c r="Q194" s="320" t="s">
        <v>9821</v>
      </c>
      <c r="R194" s="366" t="s">
        <v>9314</v>
      </c>
      <c r="S194" s="373" t="s">
        <v>10</v>
      </c>
      <c r="T194" s="855" t="s">
        <v>9333</v>
      </c>
      <c r="U194" s="3" t="s">
        <v>9316</v>
      </c>
      <c r="V194" s="3" t="s">
        <v>8165</v>
      </c>
      <c r="W194" s="3" t="s">
        <v>37</v>
      </c>
      <c r="X194" s="186">
        <v>44421</v>
      </c>
      <c r="AA194" s="1107"/>
    </row>
    <row r="195" spans="1:27" ht="26.25" x14ac:dyDescent="0.25">
      <c r="A195" s="339"/>
      <c r="B195" s="338"/>
      <c r="C195" s="277"/>
      <c r="D195" s="565"/>
      <c r="E195" s="565"/>
      <c r="F195" s="1005"/>
      <c r="G195" s="277"/>
      <c r="H195" s="277"/>
      <c r="I195" s="880"/>
      <c r="J195" s="191">
        <v>5027</v>
      </c>
      <c r="K195" s="366" t="s">
        <v>8198</v>
      </c>
      <c r="L195" s="938">
        <v>1529494.35</v>
      </c>
      <c r="M195" s="938">
        <v>5172586.25</v>
      </c>
      <c r="N195" s="275" t="s">
        <v>8199</v>
      </c>
      <c r="O195" s="275" t="s">
        <v>5</v>
      </c>
      <c r="P195" s="275">
        <v>1</v>
      </c>
      <c r="Q195" s="108" t="s">
        <v>10068</v>
      </c>
      <c r="R195" s="366" t="s">
        <v>10001</v>
      </c>
      <c r="S195" s="373" t="s">
        <v>10</v>
      </c>
      <c r="T195" s="855" t="s">
        <v>8176</v>
      </c>
      <c r="U195" s="3" t="s">
        <v>8544</v>
      </c>
      <c r="V195" s="3" t="s">
        <v>8165</v>
      </c>
      <c r="W195" s="3" t="s">
        <v>37</v>
      </c>
      <c r="X195" s="186">
        <v>44421</v>
      </c>
      <c r="AA195" s="1107"/>
    </row>
    <row r="196" spans="1:27" ht="26.25" x14ac:dyDescent="0.25">
      <c r="A196" s="339"/>
      <c r="B196" s="338"/>
      <c r="C196" s="277"/>
      <c r="D196" s="565"/>
      <c r="E196" s="565"/>
      <c r="F196" s="1005"/>
      <c r="G196" s="277"/>
      <c r="H196" s="277"/>
      <c r="I196" s="880"/>
      <c r="J196" s="191">
        <v>5028</v>
      </c>
      <c r="K196" s="366" t="s">
        <v>8200</v>
      </c>
      <c r="L196" s="938">
        <v>1529502.7</v>
      </c>
      <c r="M196" s="938">
        <v>5172586.38</v>
      </c>
      <c r="N196" s="275" t="s">
        <v>8201</v>
      </c>
      <c r="O196" s="275" t="s">
        <v>5</v>
      </c>
      <c r="P196" s="275">
        <v>1</v>
      </c>
      <c r="Q196" s="108" t="s">
        <v>10067</v>
      </c>
      <c r="R196" s="366" t="s">
        <v>10001</v>
      </c>
      <c r="S196" s="373" t="s">
        <v>10</v>
      </c>
      <c r="T196" s="855" t="s">
        <v>8202</v>
      </c>
      <c r="U196" s="3" t="s">
        <v>8544</v>
      </c>
      <c r="V196" s="3" t="s">
        <v>8165</v>
      </c>
      <c r="W196" s="3" t="s">
        <v>37</v>
      </c>
      <c r="X196" s="186">
        <v>44421</v>
      </c>
      <c r="AA196" s="1107"/>
    </row>
    <row r="197" spans="1:27" ht="26.25" x14ac:dyDescent="0.25">
      <c r="A197" s="339"/>
      <c r="B197" s="338"/>
      <c r="C197" s="277"/>
      <c r="D197" s="565"/>
      <c r="E197" s="565"/>
      <c r="F197" s="1005"/>
      <c r="G197" s="277"/>
      <c r="H197" s="277"/>
      <c r="I197" s="880"/>
      <c r="J197" s="191">
        <v>5029</v>
      </c>
      <c r="K197" s="366" t="s">
        <v>8206</v>
      </c>
      <c r="L197" s="938">
        <v>1529506.19</v>
      </c>
      <c r="M197" s="938">
        <v>5172586.38</v>
      </c>
      <c r="N197" s="275" t="s">
        <v>8207</v>
      </c>
      <c r="O197" s="275" t="s">
        <v>5</v>
      </c>
      <c r="P197" s="275">
        <v>1</v>
      </c>
      <c r="Q197" s="108" t="s">
        <v>8905</v>
      </c>
      <c r="R197" s="366" t="s">
        <v>10001</v>
      </c>
      <c r="S197" s="373" t="s">
        <v>10</v>
      </c>
      <c r="T197" s="855"/>
      <c r="U197" s="3" t="s">
        <v>8547</v>
      </c>
      <c r="V197" s="3" t="s">
        <v>8165</v>
      </c>
      <c r="W197" s="3" t="s">
        <v>37</v>
      </c>
      <c r="X197" s="186">
        <v>44421</v>
      </c>
      <c r="AA197" s="1107"/>
    </row>
    <row r="198" spans="1:27" ht="26.25" x14ac:dyDescent="0.25">
      <c r="A198" s="339"/>
      <c r="B198" s="338"/>
      <c r="C198" s="277"/>
      <c r="D198" s="565"/>
      <c r="E198" s="565"/>
      <c r="F198" s="1005"/>
      <c r="G198" s="277"/>
      <c r="H198" s="277"/>
      <c r="I198" s="880"/>
      <c r="J198" s="191">
        <v>5030</v>
      </c>
      <c r="K198" s="366" t="s">
        <v>8205</v>
      </c>
      <c r="L198" s="938">
        <v>1529506.19</v>
      </c>
      <c r="M198" s="938">
        <v>5172586.38</v>
      </c>
      <c r="N198" s="275" t="s">
        <v>9334</v>
      </c>
      <c r="O198" s="275" t="s">
        <v>61</v>
      </c>
      <c r="P198" s="275" t="s">
        <v>419</v>
      </c>
      <c r="Q198" s="320" t="s">
        <v>9822</v>
      </c>
      <c r="R198" s="366" t="s">
        <v>9314</v>
      </c>
      <c r="S198" s="373" t="s">
        <v>10</v>
      </c>
      <c r="T198" s="855"/>
      <c r="U198" s="3" t="s">
        <v>8550</v>
      </c>
      <c r="V198" s="3" t="s">
        <v>8165</v>
      </c>
      <c r="W198" s="3" t="s">
        <v>37</v>
      </c>
      <c r="X198" s="186">
        <v>44421</v>
      </c>
      <c r="AA198" s="1107"/>
    </row>
    <row r="199" spans="1:27" ht="26.25" x14ac:dyDescent="0.25">
      <c r="A199" s="339"/>
      <c r="B199" s="338"/>
      <c r="C199" s="277"/>
      <c r="D199" s="565"/>
      <c r="E199" s="565"/>
      <c r="F199" s="1005"/>
      <c r="G199" s="277"/>
      <c r="H199" s="277"/>
      <c r="I199" s="880"/>
      <c r="J199" s="191">
        <v>5031</v>
      </c>
      <c r="K199" s="366" t="s">
        <v>8203</v>
      </c>
      <c r="L199" s="938">
        <v>1529508.67</v>
      </c>
      <c r="M199" s="938">
        <v>5172586.45</v>
      </c>
      <c r="N199" s="275" t="s">
        <v>8201</v>
      </c>
      <c r="O199" s="275" t="s">
        <v>5</v>
      </c>
      <c r="P199" s="275">
        <v>1</v>
      </c>
      <c r="Q199" s="108" t="s">
        <v>10066</v>
      </c>
      <c r="R199" s="366" t="s">
        <v>10001</v>
      </c>
      <c r="S199" s="373" t="s">
        <v>10</v>
      </c>
      <c r="T199" s="855" t="s">
        <v>8202</v>
      </c>
      <c r="U199" s="3" t="s">
        <v>8544</v>
      </c>
      <c r="V199" s="3" t="s">
        <v>8165</v>
      </c>
      <c r="W199" s="3" t="s">
        <v>37</v>
      </c>
      <c r="X199" s="186">
        <v>44421</v>
      </c>
      <c r="AA199" s="1107"/>
    </row>
    <row r="200" spans="1:27" ht="26.25" x14ac:dyDescent="0.25">
      <c r="A200" s="339"/>
      <c r="B200" s="338"/>
      <c r="C200" s="277"/>
      <c r="D200" s="565"/>
      <c r="E200" s="565"/>
      <c r="F200" s="1005"/>
      <c r="G200" s="277"/>
      <c r="H200" s="277"/>
      <c r="I200" s="880"/>
      <c r="J200" s="191">
        <v>5032</v>
      </c>
      <c r="K200" s="366" t="s">
        <v>8204</v>
      </c>
      <c r="L200" s="938">
        <v>1529515.31</v>
      </c>
      <c r="M200" s="938">
        <v>5172586.53</v>
      </c>
      <c r="N200" s="275" t="s">
        <v>4501</v>
      </c>
      <c r="O200" s="275" t="s">
        <v>5</v>
      </c>
      <c r="P200" s="275">
        <v>1</v>
      </c>
      <c r="Q200" s="108" t="s">
        <v>10065</v>
      </c>
      <c r="R200" s="366" t="s">
        <v>10001</v>
      </c>
      <c r="S200" s="373" t="s">
        <v>10</v>
      </c>
      <c r="T200" s="855" t="s">
        <v>8176</v>
      </c>
      <c r="U200" s="3" t="s">
        <v>8544</v>
      </c>
      <c r="V200" s="3" t="s">
        <v>8165</v>
      </c>
      <c r="W200" s="3" t="s">
        <v>37</v>
      </c>
      <c r="X200" s="186">
        <v>44421</v>
      </c>
      <c r="AA200" s="1107"/>
    </row>
    <row r="201" spans="1:27" ht="39" x14ac:dyDescent="0.25">
      <c r="A201" s="339"/>
      <c r="B201" s="338"/>
      <c r="C201" s="277"/>
      <c r="D201" s="565"/>
      <c r="E201" s="565"/>
      <c r="F201" s="1005"/>
      <c r="G201" s="277"/>
      <c r="H201" s="277"/>
      <c r="I201" s="880"/>
      <c r="J201" s="191">
        <v>5033</v>
      </c>
      <c r="K201" s="366">
        <v>21</v>
      </c>
      <c r="L201" s="938">
        <v>1530192.01</v>
      </c>
      <c r="M201" s="938">
        <v>5172658.22</v>
      </c>
      <c r="N201" s="275" t="s">
        <v>9335</v>
      </c>
      <c r="O201" s="275" t="s">
        <v>61</v>
      </c>
      <c r="P201" s="275" t="s">
        <v>419</v>
      </c>
      <c r="Q201" s="320" t="s">
        <v>9823</v>
      </c>
      <c r="R201" s="366" t="s">
        <v>9314</v>
      </c>
      <c r="S201" s="373" t="s">
        <v>10</v>
      </c>
      <c r="T201" s="855" t="s">
        <v>9315</v>
      </c>
      <c r="U201" s="3" t="s">
        <v>9316</v>
      </c>
      <c r="V201" s="3" t="s">
        <v>8165</v>
      </c>
      <c r="W201" s="3" t="s">
        <v>37</v>
      </c>
      <c r="X201" s="186">
        <v>44421</v>
      </c>
      <c r="AA201" s="1107"/>
    </row>
    <row r="202" spans="1:27" ht="39" x14ac:dyDescent="0.25">
      <c r="A202" s="339"/>
      <c r="B202" s="338"/>
      <c r="C202" s="277"/>
      <c r="D202" s="565"/>
      <c r="E202" s="565"/>
      <c r="F202" s="1005"/>
      <c r="G202" s="277"/>
      <c r="H202" s="277"/>
      <c r="I202" s="880"/>
      <c r="J202" s="191">
        <v>5034</v>
      </c>
      <c r="K202" s="366">
        <v>22</v>
      </c>
      <c r="L202" s="938">
        <v>1531011.69</v>
      </c>
      <c r="M202" s="938">
        <v>5172767.97</v>
      </c>
      <c r="N202" s="275" t="s">
        <v>9336</v>
      </c>
      <c r="O202" s="275" t="s">
        <v>61</v>
      </c>
      <c r="P202" s="275" t="s">
        <v>419</v>
      </c>
      <c r="Q202" s="320" t="s">
        <v>9824</v>
      </c>
      <c r="R202" s="366" t="s">
        <v>9314</v>
      </c>
      <c r="S202" s="373" t="s">
        <v>10</v>
      </c>
      <c r="T202" s="855" t="s">
        <v>9315</v>
      </c>
      <c r="U202" s="3" t="s">
        <v>9316</v>
      </c>
      <c r="V202" s="3" t="s">
        <v>8165</v>
      </c>
      <c r="W202" s="3" t="s">
        <v>37</v>
      </c>
      <c r="X202" s="186">
        <v>44421</v>
      </c>
      <c r="AA202" s="1107"/>
    </row>
    <row r="203" spans="1:27" ht="26.25" x14ac:dyDescent="0.25">
      <c r="A203" s="339"/>
      <c r="B203" s="338"/>
      <c r="C203" s="277"/>
      <c r="D203" s="565"/>
      <c r="E203" s="565"/>
      <c r="F203" s="1005"/>
      <c r="G203" s="277"/>
      <c r="H203" s="277"/>
      <c r="I203" s="880"/>
      <c r="J203" s="191">
        <v>5035</v>
      </c>
      <c r="K203" s="366" t="s">
        <v>8210</v>
      </c>
      <c r="L203" s="938">
        <v>1531244.3</v>
      </c>
      <c r="M203" s="938">
        <v>5172821.3600000003</v>
      </c>
      <c r="N203" s="275" t="s">
        <v>8209</v>
      </c>
      <c r="O203" s="275" t="s">
        <v>5</v>
      </c>
      <c r="P203" s="275">
        <v>1</v>
      </c>
      <c r="Q203" s="108" t="s">
        <v>10064</v>
      </c>
      <c r="R203" s="366" t="s">
        <v>10001</v>
      </c>
      <c r="S203" s="373" t="s">
        <v>10</v>
      </c>
      <c r="T203" s="855" t="s">
        <v>4527</v>
      </c>
      <c r="U203" s="3" t="s">
        <v>8544</v>
      </c>
      <c r="V203" s="3" t="s">
        <v>8165</v>
      </c>
      <c r="W203" s="3" t="s">
        <v>37</v>
      </c>
      <c r="X203" s="186">
        <v>44421</v>
      </c>
      <c r="AA203" s="1107"/>
    </row>
    <row r="204" spans="1:27" ht="26.25" x14ac:dyDescent="0.25">
      <c r="A204" s="339"/>
      <c r="B204" s="338"/>
      <c r="C204" s="277"/>
      <c r="D204" s="565"/>
      <c r="E204" s="565"/>
      <c r="F204" s="1005"/>
      <c r="G204" s="277"/>
      <c r="H204" s="277"/>
      <c r="I204" s="880"/>
      <c r="J204" s="191">
        <v>5036</v>
      </c>
      <c r="K204" s="366" t="s">
        <v>8211</v>
      </c>
      <c r="L204" s="938">
        <v>1531244.3</v>
      </c>
      <c r="M204" s="938">
        <v>5172821.3600000003</v>
      </c>
      <c r="N204" s="275" t="s">
        <v>1693</v>
      </c>
      <c r="O204" s="275" t="s">
        <v>5</v>
      </c>
      <c r="P204" s="275">
        <v>1</v>
      </c>
      <c r="Q204" s="108" t="s">
        <v>10063</v>
      </c>
      <c r="R204" s="366" t="s">
        <v>10001</v>
      </c>
      <c r="S204" s="373" t="s">
        <v>10</v>
      </c>
      <c r="T204" s="855" t="s">
        <v>8364</v>
      </c>
      <c r="U204" s="3" t="s">
        <v>8547</v>
      </c>
      <c r="V204" s="3" t="s">
        <v>8165</v>
      </c>
      <c r="W204" s="3" t="s">
        <v>37</v>
      </c>
      <c r="X204" s="186">
        <v>44421</v>
      </c>
      <c r="AA204" s="1107"/>
    </row>
    <row r="205" spans="1:27" ht="26.25" x14ac:dyDescent="0.25">
      <c r="A205" s="339"/>
      <c r="B205" s="338"/>
      <c r="C205" s="277"/>
      <c r="D205" s="565"/>
      <c r="E205" s="565"/>
      <c r="F205" s="1005"/>
      <c r="G205" s="277"/>
      <c r="H205" s="277"/>
      <c r="I205" s="880"/>
      <c r="J205" s="191">
        <v>5037</v>
      </c>
      <c r="K205" s="366" t="s">
        <v>8208</v>
      </c>
      <c r="L205" s="938">
        <v>1531244.3</v>
      </c>
      <c r="M205" s="938">
        <v>5172821.3600000003</v>
      </c>
      <c r="N205" s="275" t="s">
        <v>9337</v>
      </c>
      <c r="O205" s="275" t="s">
        <v>61</v>
      </c>
      <c r="P205" s="275" t="s">
        <v>419</v>
      </c>
      <c r="Q205" s="320" t="s">
        <v>9825</v>
      </c>
      <c r="R205" s="366" t="s">
        <v>9314</v>
      </c>
      <c r="S205" s="373" t="s">
        <v>10</v>
      </c>
      <c r="T205" s="855"/>
      <c r="U205" s="3" t="s">
        <v>8550</v>
      </c>
      <c r="V205" s="3" t="s">
        <v>8165</v>
      </c>
      <c r="W205" s="3" t="s">
        <v>37</v>
      </c>
      <c r="X205" s="186">
        <v>44421</v>
      </c>
      <c r="AA205" s="1107"/>
    </row>
    <row r="206" spans="1:27" ht="26.25" x14ac:dyDescent="0.25">
      <c r="A206" s="339"/>
      <c r="B206" s="338"/>
      <c r="C206" s="277"/>
      <c r="D206" s="565"/>
      <c r="E206" s="565"/>
      <c r="F206" s="1005"/>
      <c r="G206" s="277"/>
      <c r="H206" s="277"/>
      <c r="I206" s="880"/>
      <c r="J206" s="191">
        <v>5038</v>
      </c>
      <c r="K206" s="366" t="s">
        <v>8212</v>
      </c>
      <c r="L206" s="938">
        <v>1532188.84</v>
      </c>
      <c r="M206" s="938">
        <v>5172900.37</v>
      </c>
      <c r="N206" s="275" t="s">
        <v>9338</v>
      </c>
      <c r="O206" s="275" t="s">
        <v>5</v>
      </c>
      <c r="P206" s="275">
        <v>1</v>
      </c>
      <c r="Q206" s="320" t="s">
        <v>9826</v>
      </c>
      <c r="R206" s="366" t="s">
        <v>9318</v>
      </c>
      <c r="S206" s="373" t="s">
        <v>10</v>
      </c>
      <c r="T206" s="855" t="s">
        <v>8176</v>
      </c>
      <c r="U206" s="3" t="s">
        <v>8544</v>
      </c>
      <c r="V206" s="3" t="s">
        <v>8165</v>
      </c>
      <c r="W206" s="3" t="s">
        <v>37</v>
      </c>
      <c r="X206" s="186">
        <v>44421</v>
      </c>
      <c r="AA206" s="1107"/>
    </row>
    <row r="207" spans="1:27" ht="26.25" x14ac:dyDescent="0.25">
      <c r="A207" s="339"/>
      <c r="B207" s="338"/>
      <c r="C207" s="277"/>
      <c r="D207" s="565"/>
      <c r="E207" s="565"/>
      <c r="F207" s="1005"/>
      <c r="G207" s="277"/>
      <c r="H207" s="277"/>
      <c r="I207" s="880"/>
      <c r="J207" s="191">
        <v>5039</v>
      </c>
      <c r="K207" s="366" t="s">
        <v>8215</v>
      </c>
      <c r="L207" s="938">
        <v>1532190.62</v>
      </c>
      <c r="M207" s="938">
        <v>5172900.16</v>
      </c>
      <c r="N207" s="275" t="s">
        <v>9339</v>
      </c>
      <c r="O207" s="275" t="s">
        <v>61</v>
      </c>
      <c r="P207" s="275" t="s">
        <v>419</v>
      </c>
      <c r="Q207" s="320" t="s">
        <v>9827</v>
      </c>
      <c r="R207" s="366" t="s">
        <v>9314</v>
      </c>
      <c r="S207" s="373" t="s">
        <v>10</v>
      </c>
      <c r="T207" s="855"/>
      <c r="U207" s="3" t="s">
        <v>8550</v>
      </c>
      <c r="V207" s="3" t="s">
        <v>8165</v>
      </c>
      <c r="W207" s="3" t="s">
        <v>37</v>
      </c>
      <c r="X207" s="186">
        <v>44421</v>
      </c>
      <c r="AA207" s="1107"/>
    </row>
    <row r="208" spans="1:27" ht="26.25" x14ac:dyDescent="0.25">
      <c r="A208" s="339"/>
      <c r="B208" s="338"/>
      <c r="C208" s="277"/>
      <c r="D208" s="565"/>
      <c r="E208" s="565"/>
      <c r="F208" s="1005"/>
      <c r="G208" s="277"/>
      <c r="H208" s="277"/>
      <c r="I208" s="880"/>
      <c r="J208" s="191">
        <v>5040</v>
      </c>
      <c r="K208" s="366" t="s">
        <v>8213</v>
      </c>
      <c r="L208" s="938">
        <v>1532192.01</v>
      </c>
      <c r="M208" s="938">
        <v>5172899.9800000004</v>
      </c>
      <c r="N208" s="275" t="s">
        <v>8214</v>
      </c>
      <c r="O208" s="275" t="s">
        <v>5</v>
      </c>
      <c r="P208" s="275">
        <v>1</v>
      </c>
      <c r="Q208" s="108" t="s">
        <v>10062</v>
      </c>
      <c r="R208" s="366" t="s">
        <v>10001</v>
      </c>
      <c r="S208" s="373" t="s">
        <v>10</v>
      </c>
      <c r="T208" s="855" t="s">
        <v>8176</v>
      </c>
      <c r="U208" s="3" t="s">
        <v>8544</v>
      </c>
      <c r="V208" s="3" t="s">
        <v>8165</v>
      </c>
      <c r="W208" s="3" t="s">
        <v>37</v>
      </c>
      <c r="X208" s="186">
        <v>44421</v>
      </c>
      <c r="AA208" s="1107"/>
    </row>
    <row r="209" spans="1:27" ht="26.25" x14ac:dyDescent="0.25">
      <c r="A209" s="339"/>
      <c r="B209" s="338"/>
      <c r="C209" s="277"/>
      <c r="D209" s="565"/>
      <c r="E209" s="565"/>
      <c r="F209" s="1005"/>
      <c r="G209" s="277"/>
      <c r="H209" s="277"/>
      <c r="I209" s="880"/>
      <c r="J209" s="191">
        <v>5041</v>
      </c>
      <c r="K209" s="366">
        <v>25</v>
      </c>
      <c r="L209" s="938">
        <v>1532636.53</v>
      </c>
      <c r="M209" s="938">
        <v>5172916.3099999996</v>
      </c>
      <c r="N209" s="275" t="s">
        <v>9340</v>
      </c>
      <c r="O209" s="275" t="s">
        <v>61</v>
      </c>
      <c r="P209" s="275" t="s">
        <v>419</v>
      </c>
      <c r="Q209" s="320" t="s">
        <v>9828</v>
      </c>
      <c r="R209" s="366" t="s">
        <v>9314</v>
      </c>
      <c r="S209" s="373" t="s">
        <v>16</v>
      </c>
      <c r="T209" s="855" t="s">
        <v>9331</v>
      </c>
      <c r="U209" s="3" t="s">
        <v>8555</v>
      </c>
      <c r="V209" s="3" t="s">
        <v>8165</v>
      </c>
      <c r="W209" s="3" t="s">
        <v>37</v>
      </c>
      <c r="X209" s="186">
        <v>44421</v>
      </c>
      <c r="AA209" s="1107"/>
    </row>
    <row r="210" spans="1:27" ht="26.25" x14ac:dyDescent="0.25">
      <c r="A210" s="339"/>
      <c r="B210" s="338"/>
      <c r="C210" s="277"/>
      <c r="D210" s="565"/>
      <c r="E210" s="565"/>
      <c r="F210" s="1005"/>
      <c r="G210" s="277"/>
      <c r="H210" s="277"/>
      <c r="I210" s="880"/>
      <c r="J210" s="191">
        <v>5042</v>
      </c>
      <c r="K210" s="366">
        <v>99</v>
      </c>
      <c r="L210" s="938">
        <v>1532654.96</v>
      </c>
      <c r="M210" s="938">
        <v>5172911.59</v>
      </c>
      <c r="N210" s="275" t="s">
        <v>9341</v>
      </c>
      <c r="O210" s="275" t="s">
        <v>61</v>
      </c>
      <c r="P210" s="275" t="s">
        <v>419</v>
      </c>
      <c r="Q210" s="320" t="s">
        <v>9829</v>
      </c>
      <c r="R210" s="366" t="s">
        <v>9314</v>
      </c>
      <c r="S210" s="373" t="s">
        <v>16</v>
      </c>
      <c r="T210" s="855" t="s">
        <v>9331</v>
      </c>
      <c r="U210" s="3" t="s">
        <v>8555</v>
      </c>
      <c r="V210" s="3" t="s">
        <v>8165</v>
      </c>
      <c r="W210" s="3" t="s">
        <v>37</v>
      </c>
      <c r="X210" s="186">
        <v>44421</v>
      </c>
      <c r="AA210" s="1107"/>
    </row>
    <row r="211" spans="1:27" ht="26.25" x14ac:dyDescent="0.25">
      <c r="A211" s="339"/>
      <c r="B211" s="338"/>
      <c r="C211" s="277"/>
      <c r="D211" s="565"/>
      <c r="E211" s="565"/>
      <c r="F211" s="1005"/>
      <c r="G211" s="277"/>
      <c r="H211" s="277"/>
      <c r="I211" s="880"/>
      <c r="J211" s="191">
        <v>5043</v>
      </c>
      <c r="K211" s="366" t="s">
        <v>8216</v>
      </c>
      <c r="L211" s="938">
        <v>1532903.3</v>
      </c>
      <c r="M211" s="938">
        <v>5172861.2699999996</v>
      </c>
      <c r="N211" s="275" t="s">
        <v>8217</v>
      </c>
      <c r="O211" s="275" t="s">
        <v>5</v>
      </c>
      <c r="P211" s="275">
        <v>1</v>
      </c>
      <c r="Q211" s="320" t="s">
        <v>9830</v>
      </c>
      <c r="R211" s="366" t="s">
        <v>9318</v>
      </c>
      <c r="S211" s="373" t="s">
        <v>16</v>
      </c>
      <c r="T211" s="855" t="s">
        <v>8176</v>
      </c>
      <c r="U211" s="3" t="s">
        <v>8544</v>
      </c>
      <c r="V211" s="3" t="s">
        <v>8165</v>
      </c>
      <c r="W211" s="3" t="s">
        <v>37</v>
      </c>
      <c r="X211" s="186">
        <v>44421</v>
      </c>
      <c r="AA211" s="1107"/>
    </row>
    <row r="212" spans="1:27" ht="26.25" x14ac:dyDescent="0.25">
      <c r="A212" s="339"/>
      <c r="B212" s="338"/>
      <c r="C212" s="277"/>
      <c r="D212" s="565"/>
      <c r="E212" s="565"/>
      <c r="F212" s="1005"/>
      <c r="G212" s="277"/>
      <c r="H212" s="277"/>
      <c r="I212" s="880"/>
      <c r="J212" s="191">
        <v>5044</v>
      </c>
      <c r="K212" s="366" t="s">
        <v>8218</v>
      </c>
      <c r="L212" s="938">
        <v>1532905.66</v>
      </c>
      <c r="M212" s="938">
        <v>5172860.7699999996</v>
      </c>
      <c r="N212" s="275" t="s">
        <v>8219</v>
      </c>
      <c r="O212" s="275" t="s">
        <v>5</v>
      </c>
      <c r="P212" s="275">
        <v>1</v>
      </c>
      <c r="Q212" s="320" t="s">
        <v>9831</v>
      </c>
      <c r="R212" s="366" t="s">
        <v>9318</v>
      </c>
      <c r="S212" s="373" t="s">
        <v>10</v>
      </c>
      <c r="T212" s="855" t="s">
        <v>8176</v>
      </c>
      <c r="U212" s="3" t="s">
        <v>8544</v>
      </c>
      <c r="V212" s="3" t="s">
        <v>8165</v>
      </c>
      <c r="W212" s="3" t="s">
        <v>37</v>
      </c>
      <c r="X212" s="186">
        <v>44421</v>
      </c>
      <c r="AA212" s="1107"/>
    </row>
    <row r="213" spans="1:27" ht="26.25" x14ac:dyDescent="0.25">
      <c r="A213" s="339"/>
      <c r="B213" s="338"/>
      <c r="C213" s="277"/>
      <c r="D213" s="565"/>
      <c r="E213" s="565"/>
      <c r="F213" s="1005"/>
      <c r="G213" s="277"/>
      <c r="H213" s="277"/>
      <c r="I213" s="880"/>
      <c r="J213" s="191">
        <v>5045</v>
      </c>
      <c r="K213" s="366" t="s">
        <v>8220</v>
      </c>
      <c r="L213" s="938">
        <v>1532908.15</v>
      </c>
      <c r="M213" s="938">
        <v>5172860.29</v>
      </c>
      <c r="N213" s="275" t="s">
        <v>8221</v>
      </c>
      <c r="O213" s="275" t="s">
        <v>5</v>
      </c>
      <c r="P213" s="275">
        <v>1</v>
      </c>
      <c r="Q213" s="108" t="s">
        <v>10039</v>
      </c>
      <c r="R213" s="366" t="s">
        <v>10001</v>
      </c>
      <c r="S213" s="373" t="s">
        <v>10</v>
      </c>
      <c r="T213" s="855" t="s">
        <v>8187</v>
      </c>
      <c r="U213" s="3" t="s">
        <v>8544</v>
      </c>
      <c r="V213" s="3" t="s">
        <v>8165</v>
      </c>
      <c r="W213" s="3" t="s">
        <v>37</v>
      </c>
      <c r="X213" s="186">
        <v>44421</v>
      </c>
      <c r="AA213" s="1107"/>
    </row>
    <row r="214" spans="1:27" ht="26.25" x14ac:dyDescent="0.25">
      <c r="A214" s="339"/>
      <c r="B214" s="338"/>
      <c r="C214" s="277"/>
      <c r="D214" s="565"/>
      <c r="E214" s="565"/>
      <c r="F214" s="1005"/>
      <c r="G214" s="277"/>
      <c r="H214" s="277"/>
      <c r="I214" s="880"/>
      <c r="J214" s="191">
        <v>5046</v>
      </c>
      <c r="K214" s="366" t="s">
        <v>8229</v>
      </c>
      <c r="L214" s="938">
        <v>1532911.2</v>
      </c>
      <c r="M214" s="938">
        <v>5172859.51</v>
      </c>
      <c r="N214" s="275" t="s">
        <v>8230</v>
      </c>
      <c r="O214" s="275" t="s">
        <v>5</v>
      </c>
      <c r="P214" s="275">
        <v>1</v>
      </c>
      <c r="Q214" s="108" t="s">
        <v>10061</v>
      </c>
      <c r="R214" s="366" t="s">
        <v>10001</v>
      </c>
      <c r="S214" s="373" t="s">
        <v>10</v>
      </c>
      <c r="T214" s="855"/>
      <c r="U214" s="3" t="s">
        <v>8547</v>
      </c>
      <c r="V214" s="3" t="s">
        <v>8165</v>
      </c>
      <c r="W214" s="3" t="s">
        <v>37</v>
      </c>
      <c r="X214" s="186">
        <v>44421</v>
      </c>
      <c r="AA214" s="1107"/>
    </row>
    <row r="215" spans="1:27" ht="26.25" x14ac:dyDescent="0.25">
      <c r="A215" s="339"/>
      <c r="B215" s="338"/>
      <c r="C215" s="277"/>
      <c r="D215" s="565"/>
      <c r="E215" s="565"/>
      <c r="F215" s="1005"/>
      <c r="G215" s="277"/>
      <c r="H215" s="277"/>
      <c r="I215" s="880"/>
      <c r="J215" s="191">
        <v>5047</v>
      </c>
      <c r="K215" s="366" t="s">
        <v>8228</v>
      </c>
      <c r="L215" s="938">
        <v>1532911.2</v>
      </c>
      <c r="M215" s="938">
        <v>5172859.51</v>
      </c>
      <c r="N215" s="275" t="s">
        <v>9342</v>
      </c>
      <c r="O215" s="275" t="s">
        <v>61</v>
      </c>
      <c r="P215" s="275" t="s">
        <v>419</v>
      </c>
      <c r="Q215" s="320" t="s">
        <v>9832</v>
      </c>
      <c r="R215" s="366" t="s">
        <v>9314</v>
      </c>
      <c r="S215" s="373" t="s">
        <v>10</v>
      </c>
      <c r="T215" s="855"/>
      <c r="U215" s="3" t="s">
        <v>8550</v>
      </c>
      <c r="V215" s="3" t="s">
        <v>8165</v>
      </c>
      <c r="W215" s="3" t="s">
        <v>37</v>
      </c>
      <c r="X215" s="186">
        <v>44421</v>
      </c>
      <c r="AA215" s="1107"/>
    </row>
    <row r="216" spans="1:27" ht="26.25" x14ac:dyDescent="0.25">
      <c r="A216" s="339"/>
      <c r="B216" s="338"/>
      <c r="C216" s="277"/>
      <c r="D216" s="565"/>
      <c r="E216" s="565"/>
      <c r="F216" s="1005"/>
      <c r="G216" s="277"/>
      <c r="H216" s="277"/>
      <c r="I216" s="880"/>
      <c r="J216" s="191">
        <v>5048</v>
      </c>
      <c r="K216" s="366" t="s">
        <v>8222</v>
      </c>
      <c r="L216" s="938">
        <v>1532914.29</v>
      </c>
      <c r="M216" s="938">
        <v>5172859</v>
      </c>
      <c r="N216" s="275" t="s">
        <v>8223</v>
      </c>
      <c r="O216" s="275" t="s">
        <v>5</v>
      </c>
      <c r="P216" s="275">
        <v>1</v>
      </c>
      <c r="Q216" s="320" t="s">
        <v>9833</v>
      </c>
      <c r="R216" s="366" t="s">
        <v>9318</v>
      </c>
      <c r="S216" s="373" t="s">
        <v>16</v>
      </c>
      <c r="T216" s="855" t="s">
        <v>8369</v>
      </c>
      <c r="U216" s="3" t="s">
        <v>8544</v>
      </c>
      <c r="V216" s="3" t="s">
        <v>8165</v>
      </c>
      <c r="W216" s="3" t="s">
        <v>37</v>
      </c>
      <c r="X216" s="186">
        <v>44421</v>
      </c>
      <c r="AA216" s="1107"/>
    </row>
    <row r="217" spans="1:27" ht="26.25" x14ac:dyDescent="0.25">
      <c r="A217" s="339"/>
      <c r="B217" s="338"/>
      <c r="C217" s="277"/>
      <c r="D217" s="565"/>
      <c r="E217" s="565"/>
      <c r="F217" s="1005"/>
      <c r="G217" s="277"/>
      <c r="H217" s="277"/>
      <c r="I217" s="880"/>
      <c r="J217" s="191">
        <v>5049</v>
      </c>
      <c r="K217" s="366" t="s">
        <v>8224</v>
      </c>
      <c r="L217" s="938">
        <v>1532916.13</v>
      </c>
      <c r="M217" s="938">
        <v>5172858.62</v>
      </c>
      <c r="N217" s="275" t="s">
        <v>8225</v>
      </c>
      <c r="O217" s="275" t="s">
        <v>5</v>
      </c>
      <c r="P217" s="275">
        <v>1</v>
      </c>
      <c r="Q217" s="320" t="s">
        <v>9834</v>
      </c>
      <c r="R217" s="366" t="s">
        <v>9318</v>
      </c>
      <c r="S217" s="373" t="s">
        <v>16</v>
      </c>
      <c r="T217" s="855" t="s">
        <v>8369</v>
      </c>
      <c r="U217" s="3" t="s">
        <v>8545</v>
      </c>
      <c r="V217" s="3" t="s">
        <v>8165</v>
      </c>
      <c r="W217" s="3" t="s">
        <v>37</v>
      </c>
      <c r="X217" s="186">
        <v>44421</v>
      </c>
      <c r="AA217" s="1107"/>
    </row>
    <row r="218" spans="1:27" ht="26.25" x14ac:dyDescent="0.25">
      <c r="A218" s="339"/>
      <c r="B218" s="338"/>
      <c r="C218" s="277"/>
      <c r="D218" s="565"/>
      <c r="E218" s="565"/>
      <c r="F218" s="1005"/>
      <c r="G218" s="277"/>
      <c r="H218" s="277"/>
      <c r="I218" s="880"/>
      <c r="J218" s="191">
        <v>5050</v>
      </c>
      <c r="K218" s="366" t="s">
        <v>8226</v>
      </c>
      <c r="L218" s="938">
        <v>1532924.8</v>
      </c>
      <c r="M218" s="938">
        <v>5172856.84</v>
      </c>
      <c r="N218" s="275" t="s">
        <v>8227</v>
      </c>
      <c r="O218" s="275" t="s">
        <v>5</v>
      </c>
      <c r="P218" s="275">
        <v>1</v>
      </c>
      <c r="Q218" s="108" t="s">
        <v>10060</v>
      </c>
      <c r="R218" s="366" t="s">
        <v>10001</v>
      </c>
      <c r="S218" s="373" t="s">
        <v>16</v>
      </c>
      <c r="T218" s="855" t="s">
        <v>8171</v>
      </c>
      <c r="U218" s="3" t="s">
        <v>8549</v>
      </c>
      <c r="V218" s="3" t="s">
        <v>8165</v>
      </c>
      <c r="W218" s="3" t="s">
        <v>37</v>
      </c>
      <c r="X218" s="186">
        <v>44421</v>
      </c>
      <c r="AA218" s="1107"/>
    </row>
    <row r="219" spans="1:27" ht="26.25" x14ac:dyDescent="0.25">
      <c r="A219" s="339"/>
      <c r="B219" s="338"/>
      <c r="C219" s="277"/>
      <c r="D219" s="565"/>
      <c r="E219" s="565"/>
      <c r="F219" s="1005"/>
      <c r="G219" s="277"/>
      <c r="H219" s="277"/>
      <c r="I219" s="880"/>
      <c r="J219" s="191">
        <v>5051</v>
      </c>
      <c r="K219" s="366">
        <v>100</v>
      </c>
      <c r="L219" s="938">
        <v>1532974.43</v>
      </c>
      <c r="M219" s="938">
        <v>5172846.59</v>
      </c>
      <c r="N219" s="275" t="s">
        <v>9343</v>
      </c>
      <c r="O219" s="275" t="s">
        <v>61</v>
      </c>
      <c r="P219" s="275" t="s">
        <v>419</v>
      </c>
      <c r="Q219" s="320" t="s">
        <v>9835</v>
      </c>
      <c r="R219" s="366" t="s">
        <v>9314</v>
      </c>
      <c r="S219" s="373" t="s">
        <v>16</v>
      </c>
      <c r="T219" s="855" t="s">
        <v>9331</v>
      </c>
      <c r="U219" s="3" t="s">
        <v>8555</v>
      </c>
      <c r="V219" s="3" t="s">
        <v>8165</v>
      </c>
      <c r="W219" s="3" t="s">
        <v>37</v>
      </c>
      <c r="X219" s="186">
        <v>44421</v>
      </c>
      <c r="AA219" s="1107"/>
    </row>
    <row r="220" spans="1:27" ht="39" x14ac:dyDescent="0.25">
      <c r="A220" s="339"/>
      <c r="B220" s="338"/>
      <c r="C220" s="277"/>
      <c r="D220" s="565"/>
      <c r="E220" s="565"/>
      <c r="F220" s="1005"/>
      <c r="G220" s="277"/>
      <c r="H220" s="277"/>
      <c r="I220" s="880"/>
      <c r="J220" s="191">
        <v>5052</v>
      </c>
      <c r="K220" s="366">
        <v>27</v>
      </c>
      <c r="L220" s="938">
        <v>1533086.74</v>
      </c>
      <c r="M220" s="938">
        <v>5172843.75</v>
      </c>
      <c r="N220" s="275" t="s">
        <v>9344</v>
      </c>
      <c r="O220" s="275" t="s">
        <v>61</v>
      </c>
      <c r="P220" s="275" t="s">
        <v>419</v>
      </c>
      <c r="Q220" s="320" t="s">
        <v>9836</v>
      </c>
      <c r="R220" s="366" t="s">
        <v>9314</v>
      </c>
      <c r="S220" s="373" t="s">
        <v>10</v>
      </c>
      <c r="T220" s="855" t="s">
        <v>9315</v>
      </c>
      <c r="U220" s="3" t="s">
        <v>9316</v>
      </c>
      <c r="V220" s="3" t="s">
        <v>8165</v>
      </c>
      <c r="W220" s="3" t="s">
        <v>37</v>
      </c>
      <c r="X220" s="186">
        <v>44421</v>
      </c>
      <c r="AA220" s="1107"/>
    </row>
    <row r="221" spans="1:27" ht="39" x14ac:dyDescent="0.25">
      <c r="A221" s="339"/>
      <c r="B221" s="338"/>
      <c r="C221" s="277"/>
      <c r="D221" s="565"/>
      <c r="E221" s="565"/>
      <c r="F221" s="1005"/>
      <c r="G221" s="277"/>
      <c r="H221" s="277"/>
      <c r="I221" s="880"/>
      <c r="J221" s="191">
        <v>5053</v>
      </c>
      <c r="K221" s="366">
        <v>28</v>
      </c>
      <c r="L221" s="938">
        <v>1533130.27</v>
      </c>
      <c r="M221" s="938">
        <v>5172833.5999999996</v>
      </c>
      <c r="N221" s="275" t="s">
        <v>9345</v>
      </c>
      <c r="O221" s="275" t="s">
        <v>61</v>
      </c>
      <c r="P221" s="275" t="s">
        <v>419</v>
      </c>
      <c r="Q221" s="320" t="s">
        <v>9837</v>
      </c>
      <c r="R221" s="366" t="s">
        <v>9314</v>
      </c>
      <c r="S221" s="373" t="s">
        <v>16</v>
      </c>
      <c r="T221" s="855" t="s">
        <v>9331</v>
      </c>
      <c r="U221" s="3" t="s">
        <v>9329</v>
      </c>
      <c r="V221" s="3" t="s">
        <v>8165</v>
      </c>
      <c r="W221" s="3" t="s">
        <v>37</v>
      </c>
      <c r="X221" s="186">
        <v>44421</v>
      </c>
      <c r="AA221" s="1107"/>
    </row>
    <row r="222" spans="1:27" ht="39" x14ac:dyDescent="0.25">
      <c r="A222" s="339"/>
      <c r="B222" s="338"/>
      <c r="C222" s="277"/>
      <c r="D222" s="565"/>
      <c r="E222" s="565"/>
      <c r="F222" s="1005"/>
      <c r="G222" s="277"/>
      <c r="H222" s="277"/>
      <c r="I222" s="880"/>
      <c r="J222" s="191">
        <v>5054</v>
      </c>
      <c r="K222" s="366">
        <v>29</v>
      </c>
      <c r="L222" s="938">
        <v>1533179.64</v>
      </c>
      <c r="M222" s="938">
        <v>5172822.08</v>
      </c>
      <c r="N222" s="275" t="s">
        <v>9346</v>
      </c>
      <c r="O222" s="275" t="s">
        <v>61</v>
      </c>
      <c r="P222" s="275" t="s">
        <v>419</v>
      </c>
      <c r="Q222" s="320" t="s">
        <v>9838</v>
      </c>
      <c r="R222" s="366" t="s">
        <v>9314</v>
      </c>
      <c r="S222" s="373" t="s">
        <v>10</v>
      </c>
      <c r="T222" s="855" t="s">
        <v>9315</v>
      </c>
      <c r="U222" s="3" t="s">
        <v>9316</v>
      </c>
      <c r="V222" s="3" t="s">
        <v>8165</v>
      </c>
      <c r="W222" s="3" t="s">
        <v>37</v>
      </c>
      <c r="X222" s="186">
        <v>44421</v>
      </c>
      <c r="AA222" s="1107"/>
    </row>
    <row r="223" spans="1:27" ht="26.25" x14ac:dyDescent="0.25">
      <c r="A223" s="339"/>
      <c r="B223" s="338"/>
      <c r="C223" s="277"/>
      <c r="D223" s="565"/>
      <c r="E223" s="565"/>
      <c r="F223" s="1005"/>
      <c r="G223" s="277"/>
      <c r="H223" s="277"/>
      <c r="I223" s="880"/>
      <c r="J223" s="191">
        <v>5055</v>
      </c>
      <c r="K223" s="366">
        <v>101</v>
      </c>
      <c r="L223" s="938">
        <v>1533644.91</v>
      </c>
      <c r="M223" s="938">
        <v>5172816.07</v>
      </c>
      <c r="N223" s="275" t="s">
        <v>9347</v>
      </c>
      <c r="O223" s="275" t="s">
        <v>61</v>
      </c>
      <c r="P223" s="275" t="s">
        <v>419</v>
      </c>
      <c r="Q223" s="320" t="s">
        <v>9839</v>
      </c>
      <c r="R223" s="366" t="s">
        <v>9314</v>
      </c>
      <c r="S223" s="373" t="s">
        <v>10</v>
      </c>
      <c r="T223" s="855" t="s">
        <v>9348</v>
      </c>
      <c r="U223" s="3" t="s">
        <v>8555</v>
      </c>
      <c r="V223" s="3" t="s">
        <v>8165</v>
      </c>
      <c r="W223" s="3" t="s">
        <v>37</v>
      </c>
      <c r="X223" s="186">
        <v>44421</v>
      </c>
      <c r="AA223" s="1107"/>
    </row>
    <row r="224" spans="1:27" ht="26.25" x14ac:dyDescent="0.25">
      <c r="A224" s="339"/>
      <c r="B224" s="338"/>
      <c r="C224" s="277"/>
      <c r="D224" s="565"/>
      <c r="E224" s="565"/>
      <c r="F224" s="1005"/>
      <c r="G224" s="277"/>
      <c r="H224" s="277"/>
      <c r="I224" s="880"/>
      <c r="J224" s="191">
        <v>5056</v>
      </c>
      <c r="K224" s="366" t="s">
        <v>8231</v>
      </c>
      <c r="L224" s="938">
        <v>1533673.45</v>
      </c>
      <c r="M224" s="938">
        <v>5172804.96</v>
      </c>
      <c r="N224" s="275" t="s">
        <v>8232</v>
      </c>
      <c r="O224" s="275" t="s">
        <v>5</v>
      </c>
      <c r="P224" s="275">
        <v>1</v>
      </c>
      <c r="Q224" s="108" t="s">
        <v>10059</v>
      </c>
      <c r="R224" s="366" t="s">
        <v>10001</v>
      </c>
      <c r="S224" s="373" t="s">
        <v>10</v>
      </c>
      <c r="T224" s="855" t="s">
        <v>8365</v>
      </c>
      <c r="U224" s="3" t="s">
        <v>8544</v>
      </c>
      <c r="V224" s="3" t="s">
        <v>8165</v>
      </c>
      <c r="W224" s="3" t="s">
        <v>37</v>
      </c>
      <c r="X224" s="186">
        <v>44421</v>
      </c>
      <c r="AA224" s="1107"/>
    </row>
    <row r="225" spans="1:27" ht="26.25" x14ac:dyDescent="0.25">
      <c r="A225" s="339"/>
      <c r="B225" s="338"/>
      <c r="C225" s="277"/>
      <c r="D225" s="565"/>
      <c r="E225" s="565"/>
      <c r="F225" s="1005"/>
      <c r="G225" s="277"/>
      <c r="H225" s="277"/>
      <c r="I225" s="880"/>
      <c r="J225" s="191">
        <v>5057</v>
      </c>
      <c r="K225" s="366" t="s">
        <v>8233</v>
      </c>
      <c r="L225" s="938">
        <v>1533678.45</v>
      </c>
      <c r="M225" s="938">
        <v>5172802.9800000004</v>
      </c>
      <c r="N225" s="275" t="s">
        <v>3728</v>
      </c>
      <c r="O225" s="275" t="s">
        <v>5</v>
      </c>
      <c r="P225" s="275">
        <v>1</v>
      </c>
      <c r="Q225" s="108" t="s">
        <v>10058</v>
      </c>
      <c r="R225" s="366" t="s">
        <v>10001</v>
      </c>
      <c r="S225" s="373" t="s">
        <v>10</v>
      </c>
      <c r="T225" s="855" t="s">
        <v>8365</v>
      </c>
      <c r="U225" s="3" t="s">
        <v>8544</v>
      </c>
      <c r="V225" s="3" t="s">
        <v>8165</v>
      </c>
      <c r="W225" s="3" t="s">
        <v>37</v>
      </c>
      <c r="X225" s="186">
        <v>44421</v>
      </c>
      <c r="AA225" s="1107"/>
    </row>
    <row r="226" spans="1:27" ht="26.25" x14ac:dyDescent="0.25">
      <c r="A226" s="339"/>
      <c r="B226" s="338"/>
      <c r="C226" s="277"/>
      <c r="D226" s="565"/>
      <c r="E226" s="565"/>
      <c r="F226" s="1005"/>
      <c r="G226" s="277"/>
      <c r="H226" s="277"/>
      <c r="I226" s="880"/>
      <c r="J226" s="191">
        <v>5058</v>
      </c>
      <c r="K226" s="366" t="s">
        <v>8237</v>
      </c>
      <c r="L226" s="938">
        <v>1533679.49</v>
      </c>
      <c r="M226" s="938">
        <v>5172802.6500000004</v>
      </c>
      <c r="N226" s="275" t="s">
        <v>8238</v>
      </c>
      <c r="O226" s="275" t="s">
        <v>5</v>
      </c>
      <c r="P226" s="275">
        <v>1</v>
      </c>
      <c r="Q226" s="108" t="s">
        <v>10057</v>
      </c>
      <c r="R226" s="366" t="s">
        <v>10001</v>
      </c>
      <c r="S226" s="373" t="s">
        <v>10</v>
      </c>
      <c r="T226" s="855"/>
      <c r="U226" s="3" t="s">
        <v>8547</v>
      </c>
      <c r="V226" s="3" t="s">
        <v>8165</v>
      </c>
      <c r="W226" s="3" t="s">
        <v>37</v>
      </c>
      <c r="X226" s="186">
        <v>44421</v>
      </c>
      <c r="AA226" s="1107"/>
    </row>
    <row r="227" spans="1:27" ht="26.25" x14ac:dyDescent="0.25">
      <c r="A227" s="339"/>
      <c r="B227" s="338"/>
      <c r="C227" s="277"/>
      <c r="D227" s="565"/>
      <c r="E227" s="565"/>
      <c r="F227" s="1005"/>
      <c r="G227" s="277"/>
      <c r="H227" s="277"/>
      <c r="I227" s="880"/>
      <c r="J227" s="191">
        <v>5059</v>
      </c>
      <c r="K227" s="366" t="s">
        <v>8236</v>
      </c>
      <c r="L227" s="938">
        <v>1533679.49</v>
      </c>
      <c r="M227" s="938">
        <v>5172802.6500000004</v>
      </c>
      <c r="N227" s="275" t="s">
        <v>9349</v>
      </c>
      <c r="O227" s="275" t="s">
        <v>61</v>
      </c>
      <c r="P227" s="275" t="s">
        <v>419</v>
      </c>
      <c r="Q227" s="320" t="s">
        <v>9840</v>
      </c>
      <c r="R227" s="366" t="s">
        <v>9314</v>
      </c>
      <c r="S227" s="373" t="s">
        <v>10</v>
      </c>
      <c r="T227" s="855"/>
      <c r="U227" s="3" t="s">
        <v>8550</v>
      </c>
      <c r="V227" s="3" t="s">
        <v>8165</v>
      </c>
      <c r="W227" s="3" t="s">
        <v>37</v>
      </c>
      <c r="X227" s="186">
        <v>44421</v>
      </c>
      <c r="AA227" s="1107"/>
    </row>
    <row r="228" spans="1:27" ht="26.25" x14ac:dyDescent="0.25">
      <c r="A228" s="339"/>
      <c r="B228" s="338"/>
      <c r="C228" s="277"/>
      <c r="D228" s="565"/>
      <c r="E228" s="565"/>
      <c r="F228" s="1005"/>
      <c r="G228" s="277"/>
      <c r="H228" s="277"/>
      <c r="I228" s="880"/>
      <c r="J228" s="191">
        <v>5060</v>
      </c>
      <c r="K228" s="366" t="s">
        <v>8234</v>
      </c>
      <c r="L228" s="938">
        <v>1533685.54</v>
      </c>
      <c r="M228" s="938">
        <v>5172800.22</v>
      </c>
      <c r="N228" s="275" t="s">
        <v>8235</v>
      </c>
      <c r="O228" s="275" t="s">
        <v>5</v>
      </c>
      <c r="P228" s="275">
        <v>1</v>
      </c>
      <c r="Q228" s="108" t="s">
        <v>10056</v>
      </c>
      <c r="R228" s="366" t="s">
        <v>10001</v>
      </c>
      <c r="S228" s="373" t="s">
        <v>10</v>
      </c>
      <c r="T228" s="855" t="s">
        <v>8176</v>
      </c>
      <c r="U228" s="3" t="s">
        <v>8543</v>
      </c>
      <c r="V228" s="3" t="s">
        <v>8165</v>
      </c>
      <c r="W228" s="3" t="s">
        <v>37</v>
      </c>
      <c r="X228" s="186">
        <v>44421</v>
      </c>
      <c r="AA228" s="1107"/>
    </row>
    <row r="229" spans="1:27" ht="26.25" x14ac:dyDescent="0.25">
      <c r="A229" s="339"/>
      <c r="B229" s="338"/>
      <c r="C229" s="277"/>
      <c r="D229" s="565"/>
      <c r="E229" s="565"/>
      <c r="F229" s="1005"/>
      <c r="G229" s="277"/>
      <c r="H229" s="277"/>
      <c r="I229" s="880"/>
      <c r="J229" s="191">
        <v>5061</v>
      </c>
      <c r="K229" s="366" t="s">
        <v>8239</v>
      </c>
      <c r="L229" s="938">
        <v>1534075.76</v>
      </c>
      <c r="M229" s="938">
        <v>5172766.3099999996</v>
      </c>
      <c r="N229" s="275" t="s">
        <v>8240</v>
      </c>
      <c r="O229" s="275" t="s">
        <v>5</v>
      </c>
      <c r="P229" s="275">
        <v>1</v>
      </c>
      <c r="Q229" s="108" t="s">
        <v>8929</v>
      </c>
      <c r="R229" s="366" t="s">
        <v>10001</v>
      </c>
      <c r="S229" s="373" t="s">
        <v>10</v>
      </c>
      <c r="T229" s="855" t="s">
        <v>8241</v>
      </c>
      <c r="U229" s="3" t="s">
        <v>8543</v>
      </c>
      <c r="V229" s="3" t="s">
        <v>8165</v>
      </c>
      <c r="W229" s="3" t="s">
        <v>37</v>
      </c>
      <c r="X229" s="186">
        <v>44421</v>
      </c>
      <c r="AA229" s="1107"/>
    </row>
    <row r="230" spans="1:27" ht="26.25" x14ac:dyDescent="0.25">
      <c r="A230" s="339"/>
      <c r="B230" s="338"/>
      <c r="C230" s="277"/>
      <c r="D230" s="565"/>
      <c r="E230" s="565"/>
      <c r="F230" s="1005"/>
      <c r="G230" s="277"/>
      <c r="H230" s="277"/>
      <c r="I230" s="880"/>
      <c r="J230" s="191">
        <v>5062</v>
      </c>
      <c r="K230" s="366" t="s">
        <v>8244</v>
      </c>
      <c r="L230" s="938">
        <v>1534079.13</v>
      </c>
      <c r="M230" s="938">
        <v>5172765.54</v>
      </c>
      <c r="N230" s="275" t="s">
        <v>9350</v>
      </c>
      <c r="O230" s="275" t="s">
        <v>61</v>
      </c>
      <c r="P230" s="275" t="s">
        <v>419</v>
      </c>
      <c r="Q230" s="320" t="s">
        <v>9841</v>
      </c>
      <c r="R230" s="366" t="s">
        <v>9314</v>
      </c>
      <c r="S230" s="373" t="s">
        <v>10</v>
      </c>
      <c r="T230" s="855"/>
      <c r="U230" s="3" t="s">
        <v>8550</v>
      </c>
      <c r="V230" s="3" t="s">
        <v>8165</v>
      </c>
      <c r="W230" s="3" t="s">
        <v>37</v>
      </c>
      <c r="X230" s="186">
        <v>44421</v>
      </c>
      <c r="AA230" s="1107"/>
    </row>
    <row r="231" spans="1:27" ht="26.25" x14ac:dyDescent="0.25">
      <c r="A231" s="339"/>
      <c r="B231" s="338"/>
      <c r="C231" s="277"/>
      <c r="D231" s="565"/>
      <c r="E231" s="565"/>
      <c r="F231" s="1005"/>
      <c r="G231" s="277"/>
      <c r="H231" s="277"/>
      <c r="I231" s="880"/>
      <c r="J231" s="191">
        <v>5063</v>
      </c>
      <c r="K231" s="366" t="s">
        <v>8242</v>
      </c>
      <c r="L231" s="938">
        <v>1534082.5</v>
      </c>
      <c r="M231" s="938">
        <v>5172764.83</v>
      </c>
      <c r="N231" s="275" t="s">
        <v>8243</v>
      </c>
      <c r="O231" s="275" t="s">
        <v>5</v>
      </c>
      <c r="P231" s="275">
        <v>1</v>
      </c>
      <c r="Q231" s="108" t="s">
        <v>10055</v>
      </c>
      <c r="R231" s="366" t="s">
        <v>10001</v>
      </c>
      <c r="S231" s="373" t="s">
        <v>10</v>
      </c>
      <c r="T231" s="855" t="s">
        <v>8241</v>
      </c>
      <c r="U231" s="3" t="s">
        <v>8543</v>
      </c>
      <c r="V231" s="3" t="s">
        <v>8165</v>
      </c>
      <c r="W231" s="3" t="s">
        <v>37</v>
      </c>
      <c r="X231" s="186">
        <v>44421</v>
      </c>
      <c r="AA231" s="1107"/>
    </row>
    <row r="232" spans="1:27" ht="39" x14ac:dyDescent="0.25">
      <c r="A232" s="339"/>
      <c r="B232" s="338"/>
      <c r="C232" s="277"/>
      <c r="D232" s="565"/>
      <c r="E232" s="565"/>
      <c r="F232" s="1005"/>
      <c r="G232" s="277"/>
      <c r="H232" s="277"/>
      <c r="I232" s="880"/>
      <c r="J232" s="191">
        <v>5064</v>
      </c>
      <c r="K232" s="366">
        <v>32</v>
      </c>
      <c r="L232" s="938">
        <v>1534165.76</v>
      </c>
      <c r="M232" s="938">
        <v>5172746.4800000004</v>
      </c>
      <c r="N232" s="275" t="s">
        <v>9351</v>
      </c>
      <c r="O232" s="275" t="s">
        <v>61</v>
      </c>
      <c r="P232" s="275" t="s">
        <v>419</v>
      </c>
      <c r="Q232" s="320" t="s">
        <v>9842</v>
      </c>
      <c r="R232" s="366" t="s">
        <v>9314</v>
      </c>
      <c r="S232" s="373" t="s">
        <v>10</v>
      </c>
      <c r="T232" s="855" t="s">
        <v>9352</v>
      </c>
      <c r="U232" s="3" t="s">
        <v>8555</v>
      </c>
      <c r="V232" s="3" t="s">
        <v>8165</v>
      </c>
      <c r="W232" s="3" t="s">
        <v>37</v>
      </c>
      <c r="X232" s="186">
        <v>44421</v>
      </c>
      <c r="AA232" s="1107"/>
    </row>
    <row r="233" spans="1:27" ht="39" x14ac:dyDescent="0.25">
      <c r="A233" s="339"/>
      <c r="B233" s="338"/>
      <c r="C233" s="277"/>
      <c r="D233" s="565"/>
      <c r="E233" s="565"/>
      <c r="F233" s="1005"/>
      <c r="G233" s="277"/>
      <c r="H233" s="277"/>
      <c r="I233" s="880"/>
      <c r="J233" s="191">
        <v>5065</v>
      </c>
      <c r="K233" s="366">
        <v>33</v>
      </c>
      <c r="L233" s="938">
        <v>1534262.77</v>
      </c>
      <c r="M233" s="938">
        <v>5172765.6500000004</v>
      </c>
      <c r="N233" s="275" t="s">
        <v>9353</v>
      </c>
      <c r="O233" s="275" t="s">
        <v>61</v>
      </c>
      <c r="P233" s="275" t="s">
        <v>419</v>
      </c>
      <c r="Q233" s="320" t="s">
        <v>9843</v>
      </c>
      <c r="R233" s="366" t="s">
        <v>9314</v>
      </c>
      <c r="S233" s="373" t="s">
        <v>10</v>
      </c>
      <c r="T233" s="855" t="s">
        <v>9352</v>
      </c>
      <c r="U233" s="3" t="s">
        <v>8555</v>
      </c>
      <c r="V233" s="3" t="s">
        <v>8165</v>
      </c>
      <c r="W233" s="3" t="s">
        <v>37</v>
      </c>
      <c r="X233" s="186">
        <v>44421</v>
      </c>
      <c r="AA233" s="1107"/>
    </row>
    <row r="234" spans="1:27" ht="39" x14ac:dyDescent="0.25">
      <c r="A234" s="339"/>
      <c r="B234" s="338"/>
      <c r="C234" s="277"/>
      <c r="D234" s="565"/>
      <c r="E234" s="565"/>
      <c r="F234" s="1005"/>
      <c r="G234" s="277"/>
      <c r="H234" s="277"/>
      <c r="I234" s="880"/>
      <c r="J234" s="191">
        <v>5066</v>
      </c>
      <c r="K234" s="366">
        <v>34</v>
      </c>
      <c r="L234" s="938">
        <v>1534339.52</v>
      </c>
      <c r="M234" s="938">
        <v>5172742.53</v>
      </c>
      <c r="N234" s="275" t="s">
        <v>9354</v>
      </c>
      <c r="O234" s="275" t="s">
        <v>61</v>
      </c>
      <c r="P234" s="275" t="s">
        <v>419</v>
      </c>
      <c r="Q234" s="320" t="s">
        <v>9003</v>
      </c>
      <c r="R234" s="366" t="s">
        <v>9314</v>
      </c>
      <c r="S234" s="373" t="s">
        <v>10</v>
      </c>
      <c r="T234" s="855" t="s">
        <v>9315</v>
      </c>
      <c r="U234" s="3" t="s">
        <v>9316</v>
      </c>
      <c r="V234" s="3" t="s">
        <v>8165</v>
      </c>
      <c r="W234" s="3" t="s">
        <v>37</v>
      </c>
      <c r="X234" s="186">
        <v>44421</v>
      </c>
      <c r="AA234" s="1107"/>
    </row>
    <row r="235" spans="1:27" ht="39" x14ac:dyDescent="0.25">
      <c r="A235" s="339"/>
      <c r="B235" s="338"/>
      <c r="C235" s="277"/>
      <c r="D235" s="565"/>
      <c r="E235" s="565"/>
      <c r="F235" s="1005"/>
      <c r="G235" s="277"/>
      <c r="H235" s="277"/>
      <c r="I235" s="880"/>
      <c r="J235" s="191">
        <v>5067</v>
      </c>
      <c r="K235" s="366">
        <v>35</v>
      </c>
      <c r="L235" s="938">
        <v>1534662.13</v>
      </c>
      <c r="M235" s="938">
        <v>5172795.3099999996</v>
      </c>
      <c r="N235" s="275" t="s">
        <v>9355</v>
      </c>
      <c r="O235" s="275" t="s">
        <v>61</v>
      </c>
      <c r="P235" s="275" t="s">
        <v>419</v>
      </c>
      <c r="Q235" s="320" t="s">
        <v>9844</v>
      </c>
      <c r="R235" s="366" t="s">
        <v>9314</v>
      </c>
      <c r="S235" s="373" t="s">
        <v>10</v>
      </c>
      <c r="T235" s="855" t="s">
        <v>9315</v>
      </c>
      <c r="U235" s="3" t="s">
        <v>9316</v>
      </c>
      <c r="V235" s="3" t="s">
        <v>8165</v>
      </c>
      <c r="W235" s="3" t="s">
        <v>37</v>
      </c>
      <c r="X235" s="186">
        <v>44421</v>
      </c>
      <c r="AA235" s="1107"/>
    </row>
    <row r="236" spans="1:27" ht="26.25" x14ac:dyDescent="0.25">
      <c r="A236" s="339"/>
      <c r="B236" s="338"/>
      <c r="C236" s="277"/>
      <c r="D236" s="565"/>
      <c r="E236" s="565"/>
      <c r="F236" s="1005"/>
      <c r="G236" s="277"/>
      <c r="H236" s="277"/>
      <c r="I236" s="880"/>
      <c r="J236" s="191">
        <v>5068</v>
      </c>
      <c r="K236" s="366" t="s">
        <v>8245</v>
      </c>
      <c r="L236" s="938">
        <v>1534928.12</v>
      </c>
      <c r="M236" s="938">
        <v>5172770</v>
      </c>
      <c r="N236" s="275" t="s">
        <v>8246</v>
      </c>
      <c r="O236" s="275" t="s">
        <v>5</v>
      </c>
      <c r="P236" s="275">
        <v>1</v>
      </c>
      <c r="Q236" s="108" t="s">
        <v>10054</v>
      </c>
      <c r="R236" s="366" t="s">
        <v>10001</v>
      </c>
      <c r="S236" s="373" t="s">
        <v>10</v>
      </c>
      <c r="T236" s="855" t="s">
        <v>8176</v>
      </c>
      <c r="U236" s="3" t="s">
        <v>8544</v>
      </c>
      <c r="V236" s="3" t="s">
        <v>8165</v>
      </c>
      <c r="W236" s="3" t="s">
        <v>37</v>
      </c>
      <c r="X236" s="186">
        <v>44421</v>
      </c>
      <c r="AA236" s="1107"/>
    </row>
    <row r="237" spans="1:27" ht="26.25" x14ac:dyDescent="0.25">
      <c r="A237" s="339"/>
      <c r="B237" s="338"/>
      <c r="C237" s="277"/>
      <c r="D237" s="565"/>
      <c r="E237" s="565"/>
      <c r="F237" s="1005"/>
      <c r="G237" s="277"/>
      <c r="H237" s="277"/>
      <c r="I237" s="880"/>
      <c r="J237" s="191">
        <v>5069</v>
      </c>
      <c r="K237" s="366" t="s">
        <v>8250</v>
      </c>
      <c r="L237" s="938">
        <v>1534932.18</v>
      </c>
      <c r="M237" s="938">
        <v>5172769.59</v>
      </c>
      <c r="N237" s="275" t="s">
        <v>3729</v>
      </c>
      <c r="O237" s="275" t="s">
        <v>5</v>
      </c>
      <c r="P237" s="275">
        <v>1</v>
      </c>
      <c r="Q237" s="108" t="s">
        <v>10046</v>
      </c>
      <c r="R237" s="366" t="s">
        <v>10001</v>
      </c>
      <c r="S237" s="373" t="s">
        <v>10</v>
      </c>
      <c r="T237" s="855"/>
      <c r="U237" s="3" t="s">
        <v>8547</v>
      </c>
      <c r="V237" s="3" t="s">
        <v>8165</v>
      </c>
      <c r="W237" s="3" t="s">
        <v>37</v>
      </c>
      <c r="X237" s="186">
        <v>44421</v>
      </c>
      <c r="AA237" s="1107"/>
    </row>
    <row r="238" spans="1:27" ht="26.25" x14ac:dyDescent="0.25">
      <c r="A238" s="339"/>
      <c r="B238" s="338"/>
      <c r="C238" s="277"/>
      <c r="D238" s="565"/>
      <c r="E238" s="565"/>
      <c r="F238" s="1005"/>
      <c r="G238" s="277"/>
      <c r="H238" s="277"/>
      <c r="I238" s="880"/>
      <c r="J238" s="191">
        <v>5070</v>
      </c>
      <c r="K238" s="366" t="s">
        <v>8249</v>
      </c>
      <c r="L238" s="938">
        <v>1534932.18</v>
      </c>
      <c r="M238" s="938">
        <v>5172769.59</v>
      </c>
      <c r="N238" s="275" t="s">
        <v>9356</v>
      </c>
      <c r="O238" s="275" t="s">
        <v>61</v>
      </c>
      <c r="P238" s="275" t="s">
        <v>419</v>
      </c>
      <c r="Q238" s="320" t="s">
        <v>9845</v>
      </c>
      <c r="R238" s="366" t="s">
        <v>9314</v>
      </c>
      <c r="S238" s="373" t="s">
        <v>10</v>
      </c>
      <c r="T238" s="855"/>
      <c r="U238" s="3" t="s">
        <v>8550</v>
      </c>
      <c r="V238" s="3" t="s">
        <v>8165</v>
      </c>
      <c r="W238" s="3" t="s">
        <v>37</v>
      </c>
      <c r="X238" s="186">
        <v>44421</v>
      </c>
      <c r="AA238" s="1107"/>
    </row>
    <row r="239" spans="1:27" ht="26.25" x14ac:dyDescent="0.25">
      <c r="A239" s="339"/>
      <c r="B239" s="338"/>
      <c r="C239" s="277"/>
      <c r="D239" s="565"/>
      <c r="E239" s="565"/>
      <c r="F239" s="1005"/>
      <c r="G239" s="277"/>
      <c r="H239" s="277"/>
      <c r="I239" s="880"/>
      <c r="J239" s="191">
        <v>5071</v>
      </c>
      <c r="K239" s="366" t="s">
        <v>8247</v>
      </c>
      <c r="L239" s="938">
        <v>1534934.95</v>
      </c>
      <c r="M239" s="938">
        <v>5172769.3499999996</v>
      </c>
      <c r="N239" s="275" t="s">
        <v>8248</v>
      </c>
      <c r="O239" s="275" t="s">
        <v>5</v>
      </c>
      <c r="P239" s="275">
        <v>1</v>
      </c>
      <c r="Q239" s="108" t="s">
        <v>10053</v>
      </c>
      <c r="R239" s="366" t="s">
        <v>10001</v>
      </c>
      <c r="S239" s="373" t="s">
        <v>10</v>
      </c>
      <c r="T239" s="855" t="s">
        <v>8176</v>
      </c>
      <c r="U239" s="3" t="s">
        <v>8544</v>
      </c>
      <c r="V239" s="3" t="s">
        <v>8165</v>
      </c>
      <c r="W239" s="3" t="s">
        <v>37</v>
      </c>
      <c r="X239" s="186">
        <v>44421</v>
      </c>
      <c r="AA239" s="1107"/>
    </row>
    <row r="240" spans="1:27" ht="39" x14ac:dyDescent="0.25">
      <c r="A240" s="339"/>
      <c r="B240" s="338"/>
      <c r="C240" s="277"/>
      <c r="D240" s="565"/>
      <c r="E240" s="565"/>
      <c r="F240" s="1005"/>
      <c r="G240" s="277"/>
      <c r="H240" s="277"/>
      <c r="I240" s="880"/>
      <c r="J240" s="191">
        <v>5072</v>
      </c>
      <c r="K240" s="366">
        <v>37</v>
      </c>
      <c r="L240" s="938">
        <v>1535183.8</v>
      </c>
      <c r="M240" s="938">
        <v>5172762.45</v>
      </c>
      <c r="N240" s="275" t="s">
        <v>9357</v>
      </c>
      <c r="O240" s="275" t="s">
        <v>61</v>
      </c>
      <c r="P240" s="275" t="s">
        <v>419</v>
      </c>
      <c r="Q240" s="320" t="s">
        <v>9846</v>
      </c>
      <c r="R240" s="366" t="s">
        <v>9314</v>
      </c>
      <c r="S240" s="373" t="s">
        <v>10</v>
      </c>
      <c r="T240" s="855" t="s">
        <v>9315</v>
      </c>
      <c r="U240" s="3" t="s">
        <v>9316</v>
      </c>
      <c r="V240" s="3" t="s">
        <v>8165</v>
      </c>
      <c r="W240" s="3" t="s">
        <v>37</v>
      </c>
      <c r="X240" s="186">
        <v>44421</v>
      </c>
      <c r="AA240" s="1107"/>
    </row>
    <row r="241" spans="1:27" ht="39" x14ac:dyDescent="0.25">
      <c r="A241" s="339"/>
      <c r="B241" s="338"/>
      <c r="C241" s="277"/>
      <c r="D241" s="565"/>
      <c r="E241" s="565"/>
      <c r="F241" s="1005"/>
      <c r="G241" s="277"/>
      <c r="H241" s="277"/>
      <c r="I241" s="880"/>
      <c r="J241" s="191">
        <v>5073</v>
      </c>
      <c r="K241" s="366">
        <v>38</v>
      </c>
      <c r="L241" s="938">
        <v>1535368.35</v>
      </c>
      <c r="M241" s="938">
        <v>5172737.24</v>
      </c>
      <c r="N241" s="275" t="s">
        <v>9358</v>
      </c>
      <c r="O241" s="275" t="s">
        <v>61</v>
      </c>
      <c r="P241" s="275" t="s">
        <v>419</v>
      </c>
      <c r="Q241" s="320" t="s">
        <v>9847</v>
      </c>
      <c r="R241" s="366" t="s">
        <v>9314</v>
      </c>
      <c r="S241" s="373" t="s">
        <v>10</v>
      </c>
      <c r="T241" s="855" t="s">
        <v>9315</v>
      </c>
      <c r="U241" s="3" t="s">
        <v>9316</v>
      </c>
      <c r="V241" s="3" t="s">
        <v>8165</v>
      </c>
      <c r="W241" s="3" t="s">
        <v>37</v>
      </c>
      <c r="X241" s="186">
        <v>44421</v>
      </c>
      <c r="AA241" s="1107"/>
    </row>
    <row r="242" spans="1:27" ht="39" x14ac:dyDescent="0.25">
      <c r="A242" s="339"/>
      <c r="B242" s="338"/>
      <c r="C242" s="277"/>
      <c r="D242" s="565"/>
      <c r="E242" s="565"/>
      <c r="F242" s="1005"/>
      <c r="G242" s="277"/>
      <c r="H242" s="277"/>
      <c r="I242" s="880"/>
      <c r="J242" s="191">
        <v>5074</v>
      </c>
      <c r="K242" s="366">
        <v>39</v>
      </c>
      <c r="L242" s="938">
        <v>1535555.11</v>
      </c>
      <c r="M242" s="938">
        <v>5172711.74</v>
      </c>
      <c r="N242" s="275" t="s">
        <v>9359</v>
      </c>
      <c r="O242" s="275" t="s">
        <v>61</v>
      </c>
      <c r="P242" s="275" t="s">
        <v>419</v>
      </c>
      <c r="Q242" s="320" t="s">
        <v>9848</v>
      </c>
      <c r="R242" s="366" t="s">
        <v>9314</v>
      </c>
      <c r="S242" s="373" t="s">
        <v>10</v>
      </c>
      <c r="T242" s="855" t="s">
        <v>9360</v>
      </c>
      <c r="U242" s="3" t="s">
        <v>9329</v>
      </c>
      <c r="V242" s="3" t="s">
        <v>8165</v>
      </c>
      <c r="W242" s="3" t="s">
        <v>37</v>
      </c>
      <c r="X242" s="186">
        <v>44421</v>
      </c>
      <c r="AA242" s="1107"/>
    </row>
    <row r="243" spans="1:27" ht="39" x14ac:dyDescent="0.25">
      <c r="A243" s="339"/>
      <c r="B243" s="338"/>
      <c r="C243" s="277"/>
      <c r="D243" s="565"/>
      <c r="E243" s="565"/>
      <c r="F243" s="1005"/>
      <c r="G243" s="277"/>
      <c r="H243" s="277"/>
      <c r="I243" s="880"/>
      <c r="J243" s="191">
        <v>5075</v>
      </c>
      <c r="K243" s="366">
        <v>40</v>
      </c>
      <c r="L243" s="938">
        <v>1535904.1</v>
      </c>
      <c r="M243" s="938">
        <v>5172721.41</v>
      </c>
      <c r="N243" s="275" t="s">
        <v>9361</v>
      </c>
      <c r="O243" s="275" t="s">
        <v>61</v>
      </c>
      <c r="P243" s="275" t="s">
        <v>419</v>
      </c>
      <c r="Q243" s="320" t="s">
        <v>9849</v>
      </c>
      <c r="R243" s="366" t="s">
        <v>9314</v>
      </c>
      <c r="S243" s="373" t="s">
        <v>10</v>
      </c>
      <c r="T243" s="855" t="s">
        <v>9315</v>
      </c>
      <c r="U243" s="3" t="s">
        <v>9316</v>
      </c>
      <c r="V243" s="3" t="s">
        <v>8165</v>
      </c>
      <c r="W243" s="3" t="s">
        <v>37</v>
      </c>
      <c r="X243" s="186">
        <v>44421</v>
      </c>
      <c r="AA243" s="1107"/>
    </row>
    <row r="244" spans="1:27" ht="39" x14ac:dyDescent="0.25">
      <c r="A244" s="339"/>
      <c r="B244" s="338"/>
      <c r="C244" s="277"/>
      <c r="D244" s="565"/>
      <c r="E244" s="565"/>
      <c r="F244" s="1005"/>
      <c r="G244" s="277"/>
      <c r="H244" s="277"/>
      <c r="I244" s="880"/>
      <c r="J244" s="191">
        <v>5076</v>
      </c>
      <c r="K244" s="366">
        <v>41</v>
      </c>
      <c r="L244" s="938">
        <v>1536238.02</v>
      </c>
      <c r="M244" s="938">
        <v>5172773.96</v>
      </c>
      <c r="N244" s="275" t="s">
        <v>9362</v>
      </c>
      <c r="O244" s="275" t="s">
        <v>61</v>
      </c>
      <c r="P244" s="275" t="s">
        <v>419</v>
      </c>
      <c r="Q244" s="320" t="s">
        <v>9850</v>
      </c>
      <c r="R244" s="366" t="s">
        <v>9314</v>
      </c>
      <c r="S244" s="373" t="s">
        <v>10</v>
      </c>
      <c r="T244" s="855" t="s">
        <v>9363</v>
      </c>
      <c r="U244" s="3" t="s">
        <v>9316</v>
      </c>
      <c r="V244" s="3" t="s">
        <v>8165</v>
      </c>
      <c r="W244" s="3" t="s">
        <v>37</v>
      </c>
      <c r="X244" s="186">
        <v>44421</v>
      </c>
      <c r="AA244" s="1107"/>
    </row>
    <row r="245" spans="1:27" ht="39" x14ac:dyDescent="0.25">
      <c r="A245" s="339"/>
      <c r="B245" s="338"/>
      <c r="C245" s="277"/>
      <c r="D245" s="565"/>
      <c r="E245" s="565"/>
      <c r="F245" s="1005"/>
      <c r="G245" s="277"/>
      <c r="H245" s="277"/>
      <c r="I245" s="880"/>
      <c r="J245" s="191">
        <v>5077</v>
      </c>
      <c r="K245" s="366">
        <v>42</v>
      </c>
      <c r="L245" s="938">
        <v>1536270</v>
      </c>
      <c r="M245" s="938">
        <v>5172772.2300000004</v>
      </c>
      <c r="N245" s="275" t="s">
        <v>9364</v>
      </c>
      <c r="O245" s="275" t="s">
        <v>61</v>
      </c>
      <c r="P245" s="275" t="s">
        <v>419</v>
      </c>
      <c r="Q245" s="320" t="s">
        <v>9851</v>
      </c>
      <c r="R245" s="366" t="s">
        <v>9314</v>
      </c>
      <c r="S245" s="373" t="s">
        <v>10</v>
      </c>
      <c r="T245" s="855" t="s">
        <v>9365</v>
      </c>
      <c r="U245" s="3" t="s">
        <v>9366</v>
      </c>
      <c r="V245" s="3" t="s">
        <v>8165</v>
      </c>
      <c r="W245" s="3" t="s">
        <v>37</v>
      </c>
      <c r="X245" s="186">
        <v>44421</v>
      </c>
      <c r="AA245" s="1107"/>
    </row>
    <row r="246" spans="1:27" ht="39" x14ac:dyDescent="0.25">
      <c r="A246" s="339"/>
      <c r="B246" s="338"/>
      <c r="C246" s="277"/>
      <c r="D246" s="565"/>
      <c r="E246" s="565"/>
      <c r="F246" s="1005"/>
      <c r="G246" s="277"/>
      <c r="H246" s="277"/>
      <c r="I246" s="880"/>
      <c r="J246" s="191">
        <v>5078</v>
      </c>
      <c r="K246" s="366">
        <v>43</v>
      </c>
      <c r="L246" s="938">
        <v>1536401.12</v>
      </c>
      <c r="M246" s="938">
        <v>5172765.24</v>
      </c>
      <c r="N246" s="275" t="s">
        <v>9367</v>
      </c>
      <c r="O246" s="275" t="s">
        <v>61</v>
      </c>
      <c r="P246" s="275" t="s">
        <v>419</v>
      </c>
      <c r="Q246" s="320" t="s">
        <v>8992</v>
      </c>
      <c r="R246" s="366" t="s">
        <v>9314</v>
      </c>
      <c r="S246" s="373" t="s">
        <v>10</v>
      </c>
      <c r="T246" s="855" t="s">
        <v>9363</v>
      </c>
      <c r="U246" s="3" t="s">
        <v>9316</v>
      </c>
      <c r="V246" s="3" t="s">
        <v>8165</v>
      </c>
      <c r="W246" s="3" t="s">
        <v>37</v>
      </c>
      <c r="X246" s="186">
        <v>44421</v>
      </c>
      <c r="AA246" s="1107"/>
    </row>
    <row r="247" spans="1:27" ht="39" x14ac:dyDescent="0.25">
      <c r="A247" s="339"/>
      <c r="B247" s="338"/>
      <c r="C247" s="277"/>
      <c r="D247" s="565"/>
      <c r="E247" s="565"/>
      <c r="F247" s="1005"/>
      <c r="G247" s="277"/>
      <c r="H247" s="277"/>
      <c r="I247" s="880"/>
      <c r="J247" s="191">
        <v>5079</v>
      </c>
      <c r="K247" s="366">
        <v>44</v>
      </c>
      <c r="L247" s="938">
        <v>1536432.45</v>
      </c>
      <c r="M247" s="938">
        <v>5172763.57</v>
      </c>
      <c r="N247" s="275" t="s">
        <v>9368</v>
      </c>
      <c r="O247" s="275" t="s">
        <v>61</v>
      </c>
      <c r="P247" s="275" t="s">
        <v>419</v>
      </c>
      <c r="Q247" s="320" t="s">
        <v>9852</v>
      </c>
      <c r="R247" s="366" t="s">
        <v>9314</v>
      </c>
      <c r="S247" s="373" t="s">
        <v>10</v>
      </c>
      <c r="T247" s="855" t="s">
        <v>9363</v>
      </c>
      <c r="U247" s="3" t="s">
        <v>9316</v>
      </c>
      <c r="V247" s="3" t="s">
        <v>8165</v>
      </c>
      <c r="W247" s="3" t="s">
        <v>37</v>
      </c>
      <c r="X247" s="186">
        <v>44421</v>
      </c>
      <c r="AA247" s="1107"/>
    </row>
    <row r="248" spans="1:27" ht="39" x14ac:dyDescent="0.25">
      <c r="A248" s="339"/>
      <c r="B248" s="338"/>
      <c r="C248" s="277"/>
      <c r="D248" s="565"/>
      <c r="E248" s="565"/>
      <c r="F248" s="1005"/>
      <c r="G248" s="277"/>
      <c r="H248" s="277"/>
      <c r="I248" s="880"/>
      <c r="J248" s="191">
        <v>5080</v>
      </c>
      <c r="K248" s="366">
        <v>45</v>
      </c>
      <c r="L248" s="938">
        <v>1536473.88</v>
      </c>
      <c r="M248" s="938">
        <v>5172761.3600000003</v>
      </c>
      <c r="N248" s="275" t="s">
        <v>9369</v>
      </c>
      <c r="O248" s="275" t="s">
        <v>61</v>
      </c>
      <c r="P248" s="275" t="s">
        <v>419</v>
      </c>
      <c r="Q248" s="320" t="s">
        <v>9853</v>
      </c>
      <c r="R248" s="366" t="s">
        <v>9314</v>
      </c>
      <c r="S248" s="373" t="s">
        <v>10</v>
      </c>
      <c r="T248" s="855" t="s">
        <v>9370</v>
      </c>
      <c r="U248" s="3" t="s">
        <v>9316</v>
      </c>
      <c r="V248" s="3" t="s">
        <v>8165</v>
      </c>
      <c r="W248" s="3" t="s">
        <v>37</v>
      </c>
      <c r="X248" s="186">
        <v>44421</v>
      </c>
      <c r="AA248" s="1107"/>
    </row>
    <row r="249" spans="1:27" ht="39" x14ac:dyDescent="0.25">
      <c r="A249" s="339"/>
      <c r="B249" s="338"/>
      <c r="C249" s="277"/>
      <c r="D249" s="565"/>
      <c r="E249" s="565"/>
      <c r="F249" s="1005"/>
      <c r="G249" s="277"/>
      <c r="H249" s="277"/>
      <c r="I249" s="880"/>
      <c r="J249" s="191">
        <v>5081</v>
      </c>
      <c r="K249" s="366">
        <v>46</v>
      </c>
      <c r="L249" s="938">
        <v>1536706.57</v>
      </c>
      <c r="M249" s="938">
        <v>5172846.97</v>
      </c>
      <c r="N249" s="275" t="s">
        <v>9371</v>
      </c>
      <c r="O249" s="275" t="s">
        <v>61</v>
      </c>
      <c r="P249" s="275" t="s">
        <v>419</v>
      </c>
      <c r="Q249" s="320" t="s">
        <v>9853</v>
      </c>
      <c r="R249" s="366" t="s">
        <v>9314</v>
      </c>
      <c r="S249" s="373" t="s">
        <v>10</v>
      </c>
      <c r="T249" s="855" t="s">
        <v>9315</v>
      </c>
      <c r="U249" s="3" t="s">
        <v>9316</v>
      </c>
      <c r="V249" s="3" t="s">
        <v>8165</v>
      </c>
      <c r="W249" s="3" t="s">
        <v>37</v>
      </c>
      <c r="X249" s="186">
        <v>44421</v>
      </c>
      <c r="AA249" s="1107"/>
    </row>
    <row r="250" spans="1:27" ht="39" x14ac:dyDescent="0.25">
      <c r="A250" s="339"/>
      <c r="B250" s="338"/>
      <c r="C250" s="277"/>
      <c r="D250" s="565"/>
      <c r="E250" s="565"/>
      <c r="F250" s="1005"/>
      <c r="G250" s="277"/>
      <c r="H250" s="277"/>
      <c r="I250" s="880"/>
      <c r="J250" s="191">
        <v>5082</v>
      </c>
      <c r="K250" s="366">
        <v>47</v>
      </c>
      <c r="L250" s="938">
        <v>1536759.7</v>
      </c>
      <c r="M250" s="938">
        <v>5172854.79</v>
      </c>
      <c r="N250" s="275" t="s">
        <v>9372</v>
      </c>
      <c r="O250" s="275" t="s">
        <v>61</v>
      </c>
      <c r="P250" s="275" t="s">
        <v>419</v>
      </c>
      <c r="Q250" s="320" t="s">
        <v>9854</v>
      </c>
      <c r="R250" s="366" t="s">
        <v>9314</v>
      </c>
      <c r="S250" s="373" t="s">
        <v>10</v>
      </c>
      <c r="T250" s="855" t="s">
        <v>9315</v>
      </c>
      <c r="U250" s="3" t="s">
        <v>9316</v>
      </c>
      <c r="V250" s="3" t="s">
        <v>8165</v>
      </c>
      <c r="W250" s="3" t="s">
        <v>37</v>
      </c>
      <c r="X250" s="186">
        <v>44421</v>
      </c>
      <c r="AA250" s="1107"/>
    </row>
    <row r="251" spans="1:27" ht="26.25" x14ac:dyDescent="0.25">
      <c r="A251" s="339"/>
      <c r="B251" s="338"/>
      <c r="C251" s="277"/>
      <c r="D251" s="565"/>
      <c r="E251" s="565"/>
      <c r="F251" s="1005"/>
      <c r="G251" s="277"/>
      <c r="H251" s="277"/>
      <c r="I251" s="880"/>
      <c r="J251" s="191">
        <v>5083</v>
      </c>
      <c r="K251" s="366" t="s">
        <v>8251</v>
      </c>
      <c r="L251" s="938">
        <v>1536940.44</v>
      </c>
      <c r="M251" s="938">
        <v>5172909.6900000004</v>
      </c>
      <c r="N251" s="275" t="s">
        <v>8252</v>
      </c>
      <c r="O251" s="275" t="s">
        <v>5</v>
      </c>
      <c r="P251" s="275">
        <v>1</v>
      </c>
      <c r="Q251" s="108" t="s">
        <v>10052</v>
      </c>
      <c r="R251" s="366" t="s">
        <v>10001</v>
      </c>
      <c r="S251" s="373" t="s">
        <v>16</v>
      </c>
      <c r="T251" s="855" t="s">
        <v>8253</v>
      </c>
      <c r="U251" s="3" t="s">
        <v>8544</v>
      </c>
      <c r="V251" s="3" t="s">
        <v>8165</v>
      </c>
      <c r="W251" s="3" t="s">
        <v>37</v>
      </c>
      <c r="X251" s="186">
        <v>44421</v>
      </c>
      <c r="AA251" s="1107"/>
    </row>
    <row r="252" spans="1:27" ht="26.25" x14ac:dyDescent="0.25">
      <c r="A252" s="339"/>
      <c r="B252" s="338"/>
      <c r="C252" s="277"/>
      <c r="D252" s="565"/>
      <c r="E252" s="565"/>
      <c r="F252" s="1005"/>
      <c r="G252" s="277"/>
      <c r="H252" s="277"/>
      <c r="I252" s="880"/>
      <c r="J252" s="191">
        <v>5084</v>
      </c>
      <c r="K252" s="366" t="s">
        <v>8257</v>
      </c>
      <c r="L252" s="938">
        <v>1536941.06</v>
      </c>
      <c r="M252" s="938">
        <v>5172909.8499999996</v>
      </c>
      <c r="N252" s="275" t="s">
        <v>8174</v>
      </c>
      <c r="O252" s="275" t="s">
        <v>5</v>
      </c>
      <c r="P252" s="275">
        <v>1</v>
      </c>
      <c r="Q252" s="320" t="s">
        <v>9855</v>
      </c>
      <c r="R252" s="366" t="s">
        <v>9318</v>
      </c>
      <c r="S252" s="373" t="s">
        <v>10</v>
      </c>
      <c r="T252" s="855" t="s">
        <v>8256</v>
      </c>
      <c r="U252" s="3" t="s">
        <v>8544</v>
      </c>
      <c r="V252" s="3" t="s">
        <v>8165</v>
      </c>
      <c r="W252" s="3" t="s">
        <v>37</v>
      </c>
      <c r="X252" s="186">
        <v>44421</v>
      </c>
      <c r="AA252" s="1107"/>
    </row>
    <row r="253" spans="1:27" ht="26.25" x14ac:dyDescent="0.25">
      <c r="A253" s="339"/>
      <c r="B253" s="338"/>
      <c r="C253" s="277"/>
      <c r="D253" s="565"/>
      <c r="E253" s="565"/>
      <c r="F253" s="1005"/>
      <c r="G253" s="277"/>
      <c r="H253" s="277"/>
      <c r="I253" s="880"/>
      <c r="J253" s="191">
        <v>5085</v>
      </c>
      <c r="K253" s="366" t="s">
        <v>8261</v>
      </c>
      <c r="L253" s="938">
        <v>1536943.95</v>
      </c>
      <c r="M253" s="938">
        <v>5172910.68</v>
      </c>
      <c r="N253" s="275" t="s">
        <v>8262</v>
      </c>
      <c r="O253" s="275" t="s">
        <v>5</v>
      </c>
      <c r="P253" s="275">
        <v>1</v>
      </c>
      <c r="Q253" s="320" t="s">
        <v>9856</v>
      </c>
      <c r="R253" s="366" t="s">
        <v>9318</v>
      </c>
      <c r="S253" s="373" t="s">
        <v>10</v>
      </c>
      <c r="T253" s="855"/>
      <c r="U253" s="3" t="s">
        <v>8547</v>
      </c>
      <c r="V253" s="3" t="s">
        <v>8165</v>
      </c>
      <c r="W253" s="3" t="s">
        <v>37</v>
      </c>
      <c r="X253" s="186">
        <v>44421</v>
      </c>
      <c r="AA253" s="1107"/>
    </row>
    <row r="254" spans="1:27" ht="26.25" x14ac:dyDescent="0.25">
      <c r="A254" s="339"/>
      <c r="B254" s="338"/>
      <c r="C254" s="277"/>
      <c r="D254" s="565"/>
      <c r="E254" s="565"/>
      <c r="F254" s="1005"/>
      <c r="G254" s="277"/>
      <c r="H254" s="277"/>
      <c r="I254" s="880"/>
      <c r="J254" s="191">
        <v>5086</v>
      </c>
      <c r="K254" s="366" t="s">
        <v>8260</v>
      </c>
      <c r="L254" s="938">
        <v>1536943.95</v>
      </c>
      <c r="M254" s="938">
        <v>5172910.68</v>
      </c>
      <c r="N254" s="275" t="s">
        <v>9373</v>
      </c>
      <c r="O254" s="275" t="s">
        <v>61</v>
      </c>
      <c r="P254" s="275" t="s">
        <v>419</v>
      </c>
      <c r="Q254" s="320" t="s">
        <v>9857</v>
      </c>
      <c r="R254" s="366" t="s">
        <v>9314</v>
      </c>
      <c r="S254" s="373" t="s">
        <v>16</v>
      </c>
      <c r="T254" s="855"/>
      <c r="U254" s="3" t="s">
        <v>8550</v>
      </c>
      <c r="V254" s="3" t="s">
        <v>8165</v>
      </c>
      <c r="W254" s="3" t="s">
        <v>37</v>
      </c>
      <c r="X254" s="186">
        <v>44421</v>
      </c>
      <c r="AA254" s="1107"/>
    </row>
    <row r="255" spans="1:27" ht="26.25" x14ac:dyDescent="0.25">
      <c r="A255" s="339"/>
      <c r="B255" s="338"/>
      <c r="C255" s="277"/>
      <c r="D255" s="565"/>
      <c r="E255" s="565"/>
      <c r="F255" s="1005"/>
      <c r="G255" s="277"/>
      <c r="H255" s="277"/>
      <c r="I255" s="880"/>
      <c r="J255" s="191">
        <v>5087</v>
      </c>
      <c r="K255" s="366" t="s">
        <v>8254</v>
      </c>
      <c r="L255" s="938">
        <v>1536946.63</v>
      </c>
      <c r="M255" s="938">
        <v>5172911.24</v>
      </c>
      <c r="N255" s="275" t="s">
        <v>8255</v>
      </c>
      <c r="O255" s="275" t="s">
        <v>5</v>
      </c>
      <c r="P255" s="275">
        <v>1</v>
      </c>
      <c r="Q255" s="108" t="s">
        <v>10051</v>
      </c>
      <c r="R255" s="366" t="s">
        <v>10001</v>
      </c>
      <c r="S255" s="373" t="s">
        <v>16</v>
      </c>
      <c r="T255" s="855" t="s">
        <v>8256</v>
      </c>
      <c r="U255" s="3" t="s">
        <v>8544</v>
      </c>
      <c r="V255" s="3" t="s">
        <v>8165</v>
      </c>
      <c r="W255" s="3" t="s">
        <v>37</v>
      </c>
      <c r="X255" s="186">
        <v>44421</v>
      </c>
      <c r="AA255" s="1107"/>
    </row>
    <row r="256" spans="1:27" ht="26.25" x14ac:dyDescent="0.25">
      <c r="A256" s="339"/>
      <c r="B256" s="338"/>
      <c r="C256" s="277"/>
      <c r="D256" s="565"/>
      <c r="E256" s="565"/>
      <c r="F256" s="1005"/>
      <c r="G256" s="277"/>
      <c r="H256" s="277"/>
      <c r="I256" s="880"/>
      <c r="J256" s="191">
        <v>5088</v>
      </c>
      <c r="K256" s="366" t="s">
        <v>8258</v>
      </c>
      <c r="L256" s="938">
        <v>1536946.87</v>
      </c>
      <c r="M256" s="938">
        <v>5172911.3099999996</v>
      </c>
      <c r="N256" s="275" t="s">
        <v>8259</v>
      </c>
      <c r="O256" s="275" t="s">
        <v>5</v>
      </c>
      <c r="P256" s="275">
        <v>1</v>
      </c>
      <c r="Q256" s="108" t="s">
        <v>10050</v>
      </c>
      <c r="R256" s="366" t="s">
        <v>10001</v>
      </c>
      <c r="S256" s="373" t="s">
        <v>16</v>
      </c>
      <c r="T256" s="855" t="s">
        <v>8253</v>
      </c>
      <c r="U256" s="3" t="s">
        <v>8544</v>
      </c>
      <c r="V256" s="3" t="s">
        <v>8165</v>
      </c>
      <c r="W256" s="3" t="s">
        <v>37</v>
      </c>
      <c r="X256" s="186">
        <v>44421</v>
      </c>
      <c r="AA256" s="1107"/>
    </row>
    <row r="257" spans="1:27" ht="39" x14ac:dyDescent="0.25">
      <c r="A257" s="339"/>
      <c r="B257" s="338"/>
      <c r="C257" s="277"/>
      <c r="D257" s="565"/>
      <c r="E257" s="565"/>
      <c r="F257" s="1005"/>
      <c r="G257" s="277"/>
      <c r="H257" s="277"/>
      <c r="I257" s="880"/>
      <c r="J257" s="191">
        <v>5089</v>
      </c>
      <c r="K257" s="366">
        <v>49</v>
      </c>
      <c r="L257" s="938">
        <v>1537235.4</v>
      </c>
      <c r="M257" s="938">
        <v>5172991.4800000004</v>
      </c>
      <c r="N257" s="275" t="s">
        <v>9374</v>
      </c>
      <c r="O257" s="275" t="s">
        <v>61</v>
      </c>
      <c r="P257" s="275" t="s">
        <v>419</v>
      </c>
      <c r="Q257" s="320" t="s">
        <v>9858</v>
      </c>
      <c r="R257" s="366" t="s">
        <v>9314</v>
      </c>
      <c r="S257" s="373" t="s">
        <v>10</v>
      </c>
      <c r="T257" s="855" t="s">
        <v>9315</v>
      </c>
      <c r="U257" s="3" t="s">
        <v>9316</v>
      </c>
      <c r="V257" s="3" t="s">
        <v>8165</v>
      </c>
      <c r="W257" s="3" t="s">
        <v>37</v>
      </c>
      <c r="X257" s="186">
        <v>44421</v>
      </c>
      <c r="AA257" s="1107"/>
    </row>
    <row r="258" spans="1:27" ht="26.25" x14ac:dyDescent="0.25">
      <c r="A258" s="339"/>
      <c r="B258" s="338"/>
      <c r="C258" s="277"/>
      <c r="D258" s="565"/>
      <c r="E258" s="565"/>
      <c r="F258" s="1005"/>
      <c r="G258" s="277"/>
      <c r="H258" s="277"/>
      <c r="I258" s="880"/>
      <c r="J258" s="191">
        <v>5090</v>
      </c>
      <c r="K258" s="366" t="s">
        <v>8263</v>
      </c>
      <c r="L258" s="938">
        <v>1537358.14</v>
      </c>
      <c r="M258" s="938">
        <v>5172990.43</v>
      </c>
      <c r="N258" s="275" t="s">
        <v>8172</v>
      </c>
      <c r="O258" s="275" t="s">
        <v>5</v>
      </c>
      <c r="P258" s="275">
        <v>1</v>
      </c>
      <c r="Q258" s="320" t="s">
        <v>9849</v>
      </c>
      <c r="R258" s="366" t="s">
        <v>9318</v>
      </c>
      <c r="S258" s="373" t="s">
        <v>10</v>
      </c>
      <c r="T258" s="855" t="s">
        <v>8176</v>
      </c>
      <c r="U258" s="3" t="s">
        <v>8544</v>
      </c>
      <c r="V258" s="3" t="s">
        <v>8165</v>
      </c>
      <c r="W258" s="3" t="s">
        <v>37</v>
      </c>
      <c r="X258" s="186">
        <v>44421</v>
      </c>
      <c r="AA258" s="1107"/>
    </row>
    <row r="259" spans="1:27" ht="26.25" x14ac:dyDescent="0.25">
      <c r="A259" s="339"/>
      <c r="B259" s="338"/>
      <c r="C259" s="277"/>
      <c r="D259" s="565"/>
      <c r="E259" s="565"/>
      <c r="F259" s="1005"/>
      <c r="G259" s="277"/>
      <c r="H259" s="277"/>
      <c r="I259" s="880"/>
      <c r="J259" s="191">
        <v>5091</v>
      </c>
      <c r="K259" s="366" t="s">
        <v>8267</v>
      </c>
      <c r="L259" s="938">
        <v>1537359.63</v>
      </c>
      <c r="M259" s="938">
        <v>5172990.18</v>
      </c>
      <c r="N259" s="275" t="s">
        <v>8265</v>
      </c>
      <c r="O259" s="275" t="s">
        <v>5</v>
      </c>
      <c r="P259" s="275">
        <v>1</v>
      </c>
      <c r="Q259" s="320" t="s">
        <v>9859</v>
      </c>
      <c r="R259" s="366" t="s">
        <v>9318</v>
      </c>
      <c r="S259" s="373" t="s">
        <v>10</v>
      </c>
      <c r="T259" s="855"/>
      <c r="U259" s="3" t="s">
        <v>8547</v>
      </c>
      <c r="V259" s="3" t="s">
        <v>8165</v>
      </c>
      <c r="W259" s="3" t="s">
        <v>37</v>
      </c>
      <c r="X259" s="186">
        <v>44421</v>
      </c>
      <c r="AA259" s="1107"/>
    </row>
    <row r="260" spans="1:27" ht="26.25" x14ac:dyDescent="0.25">
      <c r="A260" s="339"/>
      <c r="B260" s="338"/>
      <c r="C260" s="277"/>
      <c r="D260" s="565"/>
      <c r="E260" s="565"/>
      <c r="F260" s="1005"/>
      <c r="G260" s="277"/>
      <c r="H260" s="277"/>
      <c r="I260" s="880"/>
      <c r="J260" s="191">
        <v>5092</v>
      </c>
      <c r="K260" s="366" t="s">
        <v>8266</v>
      </c>
      <c r="L260" s="938">
        <v>1537359.63</v>
      </c>
      <c r="M260" s="938">
        <v>5172990.18</v>
      </c>
      <c r="N260" s="275" t="s">
        <v>9375</v>
      </c>
      <c r="O260" s="275" t="s">
        <v>61</v>
      </c>
      <c r="P260" s="275" t="s">
        <v>419</v>
      </c>
      <c r="Q260" s="320" t="s">
        <v>9859</v>
      </c>
      <c r="R260" s="366" t="s">
        <v>9314</v>
      </c>
      <c r="S260" s="373" t="s">
        <v>10</v>
      </c>
      <c r="T260" s="855"/>
      <c r="U260" s="3" t="s">
        <v>8550</v>
      </c>
      <c r="V260" s="3" t="s">
        <v>8165</v>
      </c>
      <c r="W260" s="3" t="s">
        <v>37</v>
      </c>
      <c r="X260" s="186">
        <v>44421</v>
      </c>
      <c r="AA260" s="1107"/>
    </row>
    <row r="261" spans="1:27" ht="26.25" x14ac:dyDescent="0.25">
      <c r="A261" s="339"/>
      <c r="B261" s="338"/>
      <c r="C261" s="277"/>
      <c r="D261" s="565"/>
      <c r="E261" s="565"/>
      <c r="F261" s="1005"/>
      <c r="G261" s="277"/>
      <c r="H261" s="277"/>
      <c r="I261" s="880"/>
      <c r="J261" s="191">
        <v>5093</v>
      </c>
      <c r="K261" s="366" t="s">
        <v>8264</v>
      </c>
      <c r="L261" s="938">
        <v>1537361.17</v>
      </c>
      <c r="M261" s="938">
        <v>5172990.13</v>
      </c>
      <c r="N261" s="275" t="s">
        <v>8265</v>
      </c>
      <c r="O261" s="275" t="s">
        <v>5</v>
      </c>
      <c r="P261" s="275">
        <v>1</v>
      </c>
      <c r="Q261" s="320" t="s">
        <v>9859</v>
      </c>
      <c r="R261" s="366" t="s">
        <v>9318</v>
      </c>
      <c r="S261" s="373" t="s">
        <v>10</v>
      </c>
      <c r="T261" s="855" t="s">
        <v>8176</v>
      </c>
      <c r="U261" s="3" t="s">
        <v>8544</v>
      </c>
      <c r="V261" s="3" t="s">
        <v>8165</v>
      </c>
      <c r="W261" s="3" t="s">
        <v>37</v>
      </c>
      <c r="X261" s="186">
        <v>44421</v>
      </c>
      <c r="AA261" s="1107"/>
    </row>
    <row r="262" spans="1:27" ht="26.25" x14ac:dyDescent="0.25">
      <c r="A262" s="339"/>
      <c r="B262" s="338"/>
      <c r="C262" s="277"/>
      <c r="D262" s="565"/>
      <c r="E262" s="565"/>
      <c r="F262" s="1005"/>
      <c r="G262" s="277"/>
      <c r="H262" s="277"/>
      <c r="I262" s="880"/>
      <c r="J262" s="191">
        <v>5094</v>
      </c>
      <c r="K262" s="366" t="s">
        <v>8268</v>
      </c>
      <c r="L262" s="938">
        <v>1537479.5</v>
      </c>
      <c r="M262" s="938">
        <v>5172976.67</v>
      </c>
      <c r="N262" s="275" t="s">
        <v>8269</v>
      </c>
      <c r="O262" s="275" t="s">
        <v>5</v>
      </c>
      <c r="P262" s="275">
        <v>1</v>
      </c>
      <c r="Q262" s="320" t="s">
        <v>9860</v>
      </c>
      <c r="R262" s="366" t="s">
        <v>9318</v>
      </c>
      <c r="S262" s="373" t="s">
        <v>10</v>
      </c>
      <c r="T262" s="855" t="s">
        <v>8368</v>
      </c>
      <c r="U262" s="3" t="s">
        <v>8549</v>
      </c>
      <c r="V262" s="3" t="s">
        <v>8165</v>
      </c>
      <c r="W262" s="3" t="s">
        <v>37</v>
      </c>
      <c r="X262" s="186">
        <v>44421</v>
      </c>
      <c r="AA262" s="1107"/>
    </row>
    <row r="263" spans="1:27" ht="39" x14ac:dyDescent="0.25">
      <c r="A263" s="339"/>
      <c r="B263" s="338"/>
      <c r="C263" s="277"/>
      <c r="D263" s="565"/>
      <c r="E263" s="565"/>
      <c r="F263" s="1005"/>
      <c r="G263" s="277"/>
      <c r="H263" s="277"/>
      <c r="I263" s="880"/>
      <c r="J263" s="191">
        <v>5095</v>
      </c>
      <c r="K263" s="366" t="s">
        <v>8272</v>
      </c>
      <c r="L263" s="938">
        <v>1537549.8</v>
      </c>
      <c r="M263" s="938">
        <v>5173072.83</v>
      </c>
      <c r="N263" s="275" t="s">
        <v>9376</v>
      </c>
      <c r="O263" s="275" t="s">
        <v>61</v>
      </c>
      <c r="P263" s="275" t="s">
        <v>419</v>
      </c>
      <c r="Q263" s="320" t="s">
        <v>9861</v>
      </c>
      <c r="R263" s="366" t="s">
        <v>9314</v>
      </c>
      <c r="S263" s="373" t="s">
        <v>10</v>
      </c>
      <c r="T263" s="855"/>
      <c r="U263" s="3" t="s">
        <v>9377</v>
      </c>
      <c r="V263" s="3" t="s">
        <v>8165</v>
      </c>
      <c r="W263" s="3" t="s">
        <v>37</v>
      </c>
      <c r="X263" s="186">
        <v>44421</v>
      </c>
      <c r="AA263" s="1107"/>
    </row>
    <row r="264" spans="1:27" ht="26.25" x14ac:dyDescent="0.25">
      <c r="A264" s="339"/>
      <c r="B264" s="338"/>
      <c r="C264" s="277"/>
      <c r="D264" s="565"/>
      <c r="E264" s="565"/>
      <c r="F264" s="1005"/>
      <c r="G264" s="277"/>
      <c r="H264" s="277"/>
      <c r="I264" s="880"/>
      <c r="J264" s="191">
        <v>5096</v>
      </c>
      <c r="K264" s="366" t="s">
        <v>8270</v>
      </c>
      <c r="L264" s="938">
        <v>1537600.65</v>
      </c>
      <c r="M264" s="938">
        <v>5173169.3099999996</v>
      </c>
      <c r="N264" s="275" t="s">
        <v>8271</v>
      </c>
      <c r="O264" s="275" t="s">
        <v>5</v>
      </c>
      <c r="P264" s="275">
        <v>1</v>
      </c>
      <c r="Q264" s="320" t="s">
        <v>9862</v>
      </c>
      <c r="R264" s="366" t="s">
        <v>9318</v>
      </c>
      <c r="S264" s="373" t="s">
        <v>10</v>
      </c>
      <c r="T264" s="855" t="s">
        <v>8176</v>
      </c>
      <c r="U264" s="3" t="s">
        <v>8544</v>
      </c>
      <c r="V264" s="3" t="s">
        <v>8165</v>
      </c>
      <c r="W264" s="3" t="s">
        <v>37</v>
      </c>
      <c r="X264" s="186">
        <v>44421</v>
      </c>
      <c r="AA264" s="1107"/>
    </row>
    <row r="265" spans="1:27" ht="26.25" x14ac:dyDescent="0.25">
      <c r="A265" s="339"/>
      <c r="B265" s="338"/>
      <c r="C265" s="277"/>
      <c r="D265" s="565"/>
      <c r="E265" s="565"/>
      <c r="F265" s="1005"/>
      <c r="G265" s="277"/>
      <c r="H265" s="277"/>
      <c r="I265" s="880"/>
      <c r="J265" s="191">
        <v>5097</v>
      </c>
      <c r="K265" s="366" t="s">
        <v>8275</v>
      </c>
      <c r="L265" s="938">
        <v>1538098.9</v>
      </c>
      <c r="M265" s="938">
        <v>5173115.3</v>
      </c>
      <c r="N265" s="275" t="s">
        <v>8274</v>
      </c>
      <c r="O265" s="275" t="s">
        <v>5</v>
      </c>
      <c r="P265" s="275">
        <v>1</v>
      </c>
      <c r="Q265" s="108" t="s">
        <v>10049</v>
      </c>
      <c r="R265" s="366" t="s">
        <v>10001</v>
      </c>
      <c r="S265" s="373" t="s">
        <v>10</v>
      </c>
      <c r="T265" s="855" t="s">
        <v>8368</v>
      </c>
      <c r="U265" s="3" t="s">
        <v>8544</v>
      </c>
      <c r="V265" s="3" t="s">
        <v>8165</v>
      </c>
      <c r="W265" s="3" t="s">
        <v>37</v>
      </c>
      <c r="X265" s="186">
        <v>44421</v>
      </c>
      <c r="AA265" s="1107"/>
    </row>
    <row r="266" spans="1:27" ht="26.25" x14ac:dyDescent="0.25">
      <c r="A266" s="339"/>
      <c r="B266" s="338"/>
      <c r="C266" s="277"/>
      <c r="D266" s="565"/>
      <c r="E266" s="565"/>
      <c r="F266" s="1005"/>
      <c r="G266" s="277"/>
      <c r="H266" s="277"/>
      <c r="I266" s="880"/>
      <c r="J266" s="191">
        <v>5098</v>
      </c>
      <c r="K266" s="366" t="s">
        <v>8276</v>
      </c>
      <c r="L266" s="938">
        <v>1538098.9</v>
      </c>
      <c r="M266" s="938">
        <v>5173115.3</v>
      </c>
      <c r="N266" s="275" t="s">
        <v>8277</v>
      </c>
      <c r="O266" s="275" t="s">
        <v>5</v>
      </c>
      <c r="P266" s="275">
        <v>1</v>
      </c>
      <c r="Q266" s="108" t="s">
        <v>10048</v>
      </c>
      <c r="R266" s="366" t="s">
        <v>10001</v>
      </c>
      <c r="S266" s="373" t="s">
        <v>10</v>
      </c>
      <c r="T266" s="855"/>
      <c r="U266" s="3" t="s">
        <v>8547</v>
      </c>
      <c r="V266" s="3" t="s">
        <v>8165</v>
      </c>
      <c r="W266" s="3" t="s">
        <v>37</v>
      </c>
      <c r="X266" s="186">
        <v>44421</v>
      </c>
      <c r="AA266" s="1107"/>
    </row>
    <row r="267" spans="1:27" ht="26.25" x14ac:dyDescent="0.25">
      <c r="A267" s="339"/>
      <c r="B267" s="338"/>
      <c r="C267" s="277"/>
      <c r="D267" s="565"/>
      <c r="E267" s="565"/>
      <c r="F267" s="1005"/>
      <c r="G267" s="277"/>
      <c r="H267" s="277"/>
      <c r="I267" s="880"/>
      <c r="J267" s="191">
        <v>5099</v>
      </c>
      <c r="K267" s="366" t="s">
        <v>8273</v>
      </c>
      <c r="L267" s="938">
        <v>1538098.9</v>
      </c>
      <c r="M267" s="938">
        <v>5173115.3</v>
      </c>
      <c r="N267" s="275" t="s">
        <v>9378</v>
      </c>
      <c r="O267" s="275" t="s">
        <v>61</v>
      </c>
      <c r="P267" s="275" t="s">
        <v>419</v>
      </c>
      <c r="Q267" s="320" t="s">
        <v>9863</v>
      </c>
      <c r="R267" s="366" t="s">
        <v>9314</v>
      </c>
      <c r="S267" s="373" t="s">
        <v>10</v>
      </c>
      <c r="T267" s="855"/>
      <c r="U267" s="3" t="s">
        <v>8550</v>
      </c>
      <c r="V267" s="3" t="s">
        <v>8165</v>
      </c>
      <c r="W267" s="3" t="s">
        <v>37</v>
      </c>
      <c r="X267" s="186">
        <v>44421</v>
      </c>
      <c r="AA267" s="1107"/>
    </row>
    <row r="268" spans="1:27" ht="39" x14ac:dyDescent="0.25">
      <c r="A268" s="339"/>
      <c r="B268" s="338"/>
      <c r="C268" s="277"/>
      <c r="D268" s="565"/>
      <c r="E268" s="565"/>
      <c r="F268" s="1005"/>
      <c r="G268" s="1024"/>
      <c r="H268" s="1024"/>
      <c r="I268" s="880"/>
      <c r="J268" s="191">
        <v>5100</v>
      </c>
      <c r="K268" s="366">
        <v>53</v>
      </c>
      <c r="L268" s="938">
        <v>1538219.95</v>
      </c>
      <c r="M268" s="938">
        <v>5173137.76</v>
      </c>
      <c r="N268" s="275" t="s">
        <v>9379</v>
      </c>
      <c r="O268" s="275" t="s">
        <v>61</v>
      </c>
      <c r="P268" s="275" t="s">
        <v>419</v>
      </c>
      <c r="Q268" s="108" t="s">
        <v>10047</v>
      </c>
      <c r="R268" s="366" t="s">
        <v>9314</v>
      </c>
      <c r="S268" s="373" t="s">
        <v>16</v>
      </c>
      <c r="T268" s="855" t="s">
        <v>9380</v>
      </c>
      <c r="U268" s="3" t="s">
        <v>9316</v>
      </c>
      <c r="V268" s="3" t="s">
        <v>8165</v>
      </c>
      <c r="W268" s="3" t="s">
        <v>37</v>
      </c>
      <c r="X268" s="186">
        <v>44421</v>
      </c>
      <c r="AA268" s="1107"/>
    </row>
    <row r="269" spans="1:27" ht="39" x14ac:dyDescent="0.25">
      <c r="A269" s="339"/>
      <c r="B269" s="338"/>
      <c r="C269" s="277"/>
      <c r="D269" s="565"/>
      <c r="E269" s="565"/>
      <c r="F269" s="1005"/>
      <c r="G269" s="277"/>
      <c r="H269" s="277"/>
      <c r="I269" s="880"/>
      <c r="J269" s="191">
        <v>5101</v>
      </c>
      <c r="K269" s="366">
        <v>54</v>
      </c>
      <c r="L269" s="938">
        <v>1538261.69</v>
      </c>
      <c r="M269" s="938">
        <v>5173132.2699999996</v>
      </c>
      <c r="N269" s="275" t="s">
        <v>9381</v>
      </c>
      <c r="O269" s="275" t="s">
        <v>61</v>
      </c>
      <c r="P269" s="275" t="s">
        <v>419</v>
      </c>
      <c r="Q269" s="320" t="s">
        <v>9864</v>
      </c>
      <c r="R269" s="366" t="s">
        <v>9314</v>
      </c>
      <c r="S269" s="373" t="s">
        <v>16</v>
      </c>
      <c r="T269" s="855" t="s">
        <v>9380</v>
      </c>
      <c r="U269" s="3" t="s">
        <v>9316</v>
      </c>
      <c r="V269" s="3" t="s">
        <v>8165</v>
      </c>
      <c r="W269" s="3" t="s">
        <v>37</v>
      </c>
      <c r="X269" s="186">
        <v>44421</v>
      </c>
      <c r="AA269" s="1107"/>
    </row>
    <row r="270" spans="1:27" ht="39" x14ac:dyDescent="0.25">
      <c r="A270" s="339"/>
      <c r="B270" s="338"/>
      <c r="C270" s="277"/>
      <c r="D270" s="565"/>
      <c r="E270" s="565"/>
      <c r="F270" s="1005"/>
      <c r="G270" s="277"/>
      <c r="H270" s="277"/>
      <c r="I270" s="880"/>
      <c r="J270" s="191">
        <v>5102</v>
      </c>
      <c r="K270" s="366" t="s">
        <v>8278</v>
      </c>
      <c r="L270" s="938">
        <v>1538314.27</v>
      </c>
      <c r="M270" s="938">
        <v>5173125.34</v>
      </c>
      <c r="N270" s="275" t="s">
        <v>8279</v>
      </c>
      <c r="O270" s="275" t="s">
        <v>5</v>
      </c>
      <c r="P270" s="275">
        <v>2</v>
      </c>
      <c r="Q270" s="108" t="s">
        <v>10045</v>
      </c>
      <c r="R270" s="366" t="s">
        <v>10001</v>
      </c>
      <c r="S270" s="373" t="s">
        <v>10</v>
      </c>
      <c r="T270" s="855" t="s">
        <v>8368</v>
      </c>
      <c r="U270" s="3" t="s">
        <v>8554</v>
      </c>
      <c r="V270" s="3" t="s">
        <v>8165</v>
      </c>
      <c r="W270" s="3" t="s">
        <v>37</v>
      </c>
      <c r="X270" s="186">
        <v>44421</v>
      </c>
      <c r="AA270" s="1107"/>
    </row>
    <row r="271" spans="1:27" ht="26.25" x14ac:dyDescent="0.25">
      <c r="A271" s="339"/>
      <c r="B271" s="338"/>
      <c r="C271" s="277"/>
      <c r="D271" s="565"/>
      <c r="E271" s="565"/>
      <c r="F271" s="1005"/>
      <c r="G271" s="277"/>
      <c r="H271" s="277"/>
      <c r="I271" s="880"/>
      <c r="J271" s="191">
        <v>5103</v>
      </c>
      <c r="K271" s="366" t="s">
        <v>8281</v>
      </c>
      <c r="L271" s="938">
        <v>1538314.27</v>
      </c>
      <c r="M271" s="938">
        <v>5173125.34</v>
      </c>
      <c r="N271" s="275" t="s">
        <v>3729</v>
      </c>
      <c r="O271" s="275" t="s">
        <v>5</v>
      </c>
      <c r="P271" s="275">
        <v>1</v>
      </c>
      <c r="Q271" s="108" t="s">
        <v>10046</v>
      </c>
      <c r="R271" s="366" t="s">
        <v>10001</v>
      </c>
      <c r="S271" s="373" t="s">
        <v>10</v>
      </c>
      <c r="T271" s="855"/>
      <c r="U271" s="3" t="s">
        <v>8547</v>
      </c>
      <c r="V271" s="3" t="s">
        <v>8165</v>
      </c>
      <c r="W271" s="3" t="s">
        <v>37</v>
      </c>
      <c r="X271" s="186">
        <v>44421</v>
      </c>
      <c r="AA271" s="1107"/>
    </row>
    <row r="272" spans="1:27" ht="26.25" x14ac:dyDescent="0.25">
      <c r="A272" s="339"/>
      <c r="B272" s="338"/>
      <c r="C272" s="277"/>
      <c r="D272" s="565"/>
      <c r="E272" s="565"/>
      <c r="F272" s="1005"/>
      <c r="G272" s="277"/>
      <c r="H272" s="277"/>
      <c r="I272" s="880"/>
      <c r="J272" s="191">
        <v>5104</v>
      </c>
      <c r="K272" s="366" t="s">
        <v>8280</v>
      </c>
      <c r="L272" s="938">
        <v>1538314.27</v>
      </c>
      <c r="M272" s="938">
        <v>5173125.34</v>
      </c>
      <c r="N272" s="275" t="s">
        <v>9382</v>
      </c>
      <c r="O272" s="275" t="s">
        <v>61</v>
      </c>
      <c r="P272" s="275" t="s">
        <v>419</v>
      </c>
      <c r="Q272" s="320" t="s">
        <v>9865</v>
      </c>
      <c r="R272" s="366" t="s">
        <v>9314</v>
      </c>
      <c r="S272" s="373" t="s">
        <v>10</v>
      </c>
      <c r="T272" s="855"/>
      <c r="U272" s="3" t="s">
        <v>8550</v>
      </c>
      <c r="V272" s="3" t="s">
        <v>8165</v>
      </c>
      <c r="W272" s="3" t="s">
        <v>37</v>
      </c>
      <c r="X272" s="186">
        <v>44421</v>
      </c>
      <c r="AA272" s="1107"/>
    </row>
    <row r="273" spans="1:27" ht="39" x14ac:dyDescent="0.25">
      <c r="A273" s="339"/>
      <c r="B273" s="338"/>
      <c r="C273" s="277"/>
      <c r="D273" s="565"/>
      <c r="E273" s="565"/>
      <c r="F273" s="1005"/>
      <c r="G273" s="277"/>
      <c r="H273" s="277"/>
      <c r="I273" s="880"/>
      <c r="J273" s="191">
        <v>5105</v>
      </c>
      <c r="K273" s="366">
        <v>56</v>
      </c>
      <c r="L273" s="938">
        <v>1538425.65</v>
      </c>
      <c r="M273" s="938">
        <v>5173114.5</v>
      </c>
      <c r="N273" s="275" t="s">
        <v>9383</v>
      </c>
      <c r="O273" s="275" t="s">
        <v>61</v>
      </c>
      <c r="P273" s="275" t="s">
        <v>419</v>
      </c>
      <c r="Q273" s="320" t="s">
        <v>9855</v>
      </c>
      <c r="R273" s="366" t="s">
        <v>9314</v>
      </c>
      <c r="S273" s="373" t="s">
        <v>10</v>
      </c>
      <c r="T273" s="855" t="s">
        <v>9380</v>
      </c>
      <c r="U273" s="3" t="s">
        <v>9316</v>
      </c>
      <c r="V273" s="3" t="s">
        <v>8165</v>
      </c>
      <c r="W273" s="3" t="s">
        <v>37</v>
      </c>
      <c r="X273" s="186">
        <v>44421</v>
      </c>
      <c r="AA273" s="1107"/>
    </row>
    <row r="274" spans="1:27" ht="39" x14ac:dyDescent="0.25">
      <c r="A274" s="339"/>
      <c r="B274" s="338"/>
      <c r="C274" s="277"/>
      <c r="D274" s="565"/>
      <c r="E274" s="565"/>
      <c r="F274" s="1005"/>
      <c r="G274" s="277"/>
      <c r="H274" s="277"/>
      <c r="I274" s="880"/>
      <c r="J274" s="191">
        <v>5106</v>
      </c>
      <c r="K274" s="366">
        <v>57</v>
      </c>
      <c r="L274" s="938">
        <v>1538477.82</v>
      </c>
      <c r="M274" s="938">
        <v>5173115.76</v>
      </c>
      <c r="N274" s="275" t="s">
        <v>9384</v>
      </c>
      <c r="O274" s="275" t="s">
        <v>61</v>
      </c>
      <c r="P274" s="275" t="s">
        <v>419</v>
      </c>
      <c r="Q274" s="320" t="s">
        <v>9866</v>
      </c>
      <c r="R274" s="366" t="s">
        <v>9314</v>
      </c>
      <c r="S274" s="373" t="s">
        <v>10</v>
      </c>
      <c r="T274" s="855" t="s">
        <v>9380</v>
      </c>
      <c r="U274" s="3" t="s">
        <v>9316</v>
      </c>
      <c r="V274" s="3" t="s">
        <v>8165</v>
      </c>
      <c r="W274" s="3" t="s">
        <v>37</v>
      </c>
      <c r="X274" s="186">
        <v>44421</v>
      </c>
      <c r="AA274" s="1107"/>
    </row>
    <row r="275" spans="1:27" ht="39" x14ac:dyDescent="0.25">
      <c r="A275" s="339"/>
      <c r="B275" s="338"/>
      <c r="C275" s="277"/>
      <c r="D275" s="565"/>
      <c r="E275" s="565"/>
      <c r="F275" s="1005"/>
      <c r="G275" s="277"/>
      <c r="H275" s="277"/>
      <c r="I275" s="880"/>
      <c r="J275" s="191">
        <v>5107</v>
      </c>
      <c r="K275" s="366">
        <v>58</v>
      </c>
      <c r="L275" s="938">
        <v>1538608.35</v>
      </c>
      <c r="M275" s="938">
        <v>5173189.5</v>
      </c>
      <c r="N275" s="275" t="s">
        <v>9385</v>
      </c>
      <c r="O275" s="275" t="s">
        <v>61</v>
      </c>
      <c r="P275" s="275" t="s">
        <v>419</v>
      </c>
      <c r="Q275" s="320" t="s">
        <v>9867</v>
      </c>
      <c r="R275" s="366" t="s">
        <v>9314</v>
      </c>
      <c r="S275" s="373" t="s">
        <v>10</v>
      </c>
      <c r="T275" s="855" t="s">
        <v>9386</v>
      </c>
      <c r="U275" s="3" t="s">
        <v>9316</v>
      </c>
      <c r="V275" s="3" t="s">
        <v>8165</v>
      </c>
      <c r="W275" s="3" t="s">
        <v>37</v>
      </c>
      <c r="X275" s="186">
        <v>44421</v>
      </c>
      <c r="AA275" s="1107"/>
    </row>
    <row r="276" spans="1:27" ht="26.25" x14ac:dyDescent="0.25">
      <c r="A276" s="339"/>
      <c r="B276" s="338"/>
      <c r="C276" s="277"/>
      <c r="D276" s="565"/>
      <c r="E276" s="565"/>
      <c r="F276" s="1005"/>
      <c r="G276" s="277"/>
      <c r="H276" s="277"/>
      <c r="I276" s="880"/>
      <c r="J276" s="191">
        <v>5108</v>
      </c>
      <c r="K276" s="366" t="s">
        <v>8284</v>
      </c>
      <c r="L276" s="938">
        <v>1538713.47</v>
      </c>
      <c r="M276" s="938">
        <v>5173224.17</v>
      </c>
      <c r="N276" s="275" t="s">
        <v>8283</v>
      </c>
      <c r="O276" s="275" t="s">
        <v>5</v>
      </c>
      <c r="P276" s="275">
        <v>1</v>
      </c>
      <c r="Q276" s="108" t="s">
        <v>10044</v>
      </c>
      <c r="R276" s="366" t="s">
        <v>10001</v>
      </c>
      <c r="S276" s="373" t="s">
        <v>10</v>
      </c>
      <c r="T276" s="855" t="s">
        <v>8175</v>
      </c>
      <c r="U276" s="3" t="s">
        <v>8544</v>
      </c>
      <c r="V276" s="3" t="s">
        <v>8165</v>
      </c>
      <c r="W276" s="3" t="s">
        <v>37</v>
      </c>
      <c r="X276" s="186">
        <v>44421</v>
      </c>
      <c r="AA276" s="1107"/>
    </row>
    <row r="277" spans="1:27" ht="26.25" x14ac:dyDescent="0.25">
      <c r="A277" s="339"/>
      <c r="B277" s="338"/>
      <c r="C277" s="277"/>
      <c r="D277" s="565"/>
      <c r="E277" s="565"/>
      <c r="F277" s="1005"/>
      <c r="G277" s="277"/>
      <c r="H277" s="277"/>
      <c r="I277" s="880"/>
      <c r="J277" s="191">
        <v>5109</v>
      </c>
      <c r="K277" s="366" t="s">
        <v>8285</v>
      </c>
      <c r="L277" s="938">
        <v>1538713.47</v>
      </c>
      <c r="M277" s="938">
        <v>5173224.17</v>
      </c>
      <c r="N277" s="275" t="s">
        <v>8221</v>
      </c>
      <c r="O277" s="275" t="s">
        <v>5</v>
      </c>
      <c r="P277" s="275">
        <v>1</v>
      </c>
      <c r="Q277" s="108" t="s">
        <v>10039</v>
      </c>
      <c r="R277" s="366" t="s">
        <v>10001</v>
      </c>
      <c r="S277" s="373" t="s">
        <v>16</v>
      </c>
      <c r="T277" s="855"/>
      <c r="U277" s="3" t="s">
        <v>8547</v>
      </c>
      <c r="V277" s="3" t="s">
        <v>8165</v>
      </c>
      <c r="W277" s="3" t="s">
        <v>37</v>
      </c>
      <c r="X277" s="186">
        <v>44421</v>
      </c>
      <c r="AA277" s="1107"/>
    </row>
    <row r="278" spans="1:27" ht="39" x14ac:dyDescent="0.25">
      <c r="A278" s="339"/>
      <c r="B278" s="338"/>
      <c r="C278" s="277"/>
      <c r="D278" s="565"/>
      <c r="E278" s="565"/>
      <c r="F278" s="1005"/>
      <c r="G278" s="277"/>
      <c r="H278" s="277"/>
      <c r="I278" s="880"/>
      <c r="J278" s="191">
        <v>5110</v>
      </c>
      <c r="K278" s="366" t="s">
        <v>8282</v>
      </c>
      <c r="L278" s="938">
        <v>1538713.47</v>
      </c>
      <c r="M278" s="938">
        <v>5173224.17</v>
      </c>
      <c r="N278" s="275" t="s">
        <v>9387</v>
      </c>
      <c r="O278" s="275" t="s">
        <v>61</v>
      </c>
      <c r="P278" s="275" t="s">
        <v>419</v>
      </c>
      <c r="Q278" s="320" t="s">
        <v>9868</v>
      </c>
      <c r="R278" s="366" t="s">
        <v>9314</v>
      </c>
      <c r="S278" s="373" t="s">
        <v>10</v>
      </c>
      <c r="T278" s="855"/>
      <c r="U278" s="3" t="s">
        <v>8551</v>
      </c>
      <c r="V278" s="3" t="s">
        <v>8165</v>
      </c>
      <c r="W278" s="3" t="s">
        <v>37</v>
      </c>
      <c r="X278" s="186">
        <v>44421</v>
      </c>
      <c r="AA278" s="1107"/>
    </row>
    <row r="279" spans="1:27" ht="39" x14ac:dyDescent="0.25">
      <c r="A279" s="339"/>
      <c r="B279" s="338"/>
      <c r="C279" s="277"/>
      <c r="D279" s="565"/>
      <c r="E279" s="565"/>
      <c r="F279" s="1005"/>
      <c r="G279" s="277"/>
      <c r="H279" s="277"/>
      <c r="I279" s="880"/>
      <c r="J279" s="191">
        <v>5111</v>
      </c>
      <c r="K279" s="366" t="s">
        <v>8287</v>
      </c>
      <c r="L279" s="938">
        <v>1538814.53</v>
      </c>
      <c r="M279" s="938">
        <v>5173240.5199999996</v>
      </c>
      <c r="N279" s="275" t="s">
        <v>8288</v>
      </c>
      <c r="O279" s="275" t="s">
        <v>5</v>
      </c>
      <c r="P279" s="275">
        <v>3</v>
      </c>
      <c r="Q279" s="320" t="s">
        <v>9869</v>
      </c>
      <c r="R279" s="366" t="s">
        <v>9318</v>
      </c>
      <c r="S279" s="373" t="s">
        <v>10</v>
      </c>
      <c r="T279" s="855" t="s">
        <v>8289</v>
      </c>
      <c r="U279" s="3" t="s">
        <v>8553</v>
      </c>
      <c r="V279" s="3" t="s">
        <v>8165</v>
      </c>
      <c r="W279" s="3" t="s">
        <v>37</v>
      </c>
      <c r="X279" s="186">
        <v>44421</v>
      </c>
      <c r="AA279" s="1107"/>
    </row>
    <row r="280" spans="1:27" ht="26.25" x14ac:dyDescent="0.25">
      <c r="A280" s="339"/>
      <c r="B280" s="338"/>
      <c r="C280" s="277"/>
      <c r="D280" s="565"/>
      <c r="E280" s="565"/>
      <c r="F280" s="1005"/>
      <c r="G280" s="277"/>
      <c r="H280" s="277"/>
      <c r="I280" s="880"/>
      <c r="J280" s="191">
        <v>5112</v>
      </c>
      <c r="K280" s="366" t="s">
        <v>8290</v>
      </c>
      <c r="L280" s="938">
        <v>1538814.53</v>
      </c>
      <c r="M280" s="938">
        <v>5173240.5199999996</v>
      </c>
      <c r="N280" s="275" t="s">
        <v>8291</v>
      </c>
      <c r="O280" s="275" t="s">
        <v>5</v>
      </c>
      <c r="P280" s="275">
        <v>1</v>
      </c>
      <c r="Q280" s="320" t="s">
        <v>9870</v>
      </c>
      <c r="R280" s="366" t="s">
        <v>9388</v>
      </c>
      <c r="S280" s="373" t="s">
        <v>10</v>
      </c>
      <c r="T280" s="855"/>
      <c r="U280" s="3" t="s">
        <v>8547</v>
      </c>
      <c r="V280" s="3" t="s">
        <v>8165</v>
      </c>
      <c r="W280" s="3" t="s">
        <v>37</v>
      </c>
      <c r="X280" s="186">
        <v>44421</v>
      </c>
      <c r="AA280" s="1107"/>
    </row>
    <row r="281" spans="1:27" ht="26.25" x14ac:dyDescent="0.25">
      <c r="A281" s="339"/>
      <c r="B281" s="338"/>
      <c r="C281" s="277"/>
      <c r="D281" s="565"/>
      <c r="E281" s="565"/>
      <c r="F281" s="1005"/>
      <c r="G281" s="277"/>
      <c r="H281" s="277"/>
      <c r="I281" s="880"/>
      <c r="J281" s="191">
        <v>5113</v>
      </c>
      <c r="K281" s="366" t="s">
        <v>8286</v>
      </c>
      <c r="L281" s="938">
        <v>1538814.53</v>
      </c>
      <c r="M281" s="938">
        <v>5173240.5199999996</v>
      </c>
      <c r="N281" s="275" t="s">
        <v>9389</v>
      </c>
      <c r="O281" s="275" t="s">
        <v>61</v>
      </c>
      <c r="P281" s="275" t="s">
        <v>419</v>
      </c>
      <c r="Q281" s="320" t="s">
        <v>9871</v>
      </c>
      <c r="R281" s="366" t="s">
        <v>9314</v>
      </c>
      <c r="S281" s="373" t="s">
        <v>16</v>
      </c>
      <c r="T281" s="855"/>
      <c r="U281" s="3" t="s">
        <v>8550</v>
      </c>
      <c r="V281" s="3" t="s">
        <v>8165</v>
      </c>
      <c r="W281" s="3" t="s">
        <v>37</v>
      </c>
      <c r="X281" s="186">
        <v>44421</v>
      </c>
      <c r="AA281" s="1107"/>
    </row>
    <row r="282" spans="1:27" ht="39" x14ac:dyDescent="0.25">
      <c r="A282" s="339"/>
      <c r="B282" s="338"/>
      <c r="C282" s="277"/>
      <c r="D282" s="565"/>
      <c r="E282" s="565"/>
      <c r="F282" s="1005"/>
      <c r="G282" s="277"/>
      <c r="H282" s="277"/>
      <c r="I282" s="880"/>
      <c r="J282" s="191">
        <v>5114</v>
      </c>
      <c r="K282" s="366">
        <v>61</v>
      </c>
      <c r="L282" s="938">
        <v>1539014.75</v>
      </c>
      <c r="M282" s="938">
        <v>5173301.66</v>
      </c>
      <c r="N282" s="275" t="s">
        <v>9390</v>
      </c>
      <c r="O282" s="275" t="s">
        <v>61</v>
      </c>
      <c r="P282" s="275" t="s">
        <v>419</v>
      </c>
      <c r="Q282" s="320" t="s">
        <v>9872</v>
      </c>
      <c r="R282" s="366" t="s">
        <v>9314</v>
      </c>
      <c r="S282" s="373" t="s">
        <v>10</v>
      </c>
      <c r="T282" s="855" t="s">
        <v>9391</v>
      </c>
      <c r="U282" s="3" t="s">
        <v>9316</v>
      </c>
      <c r="V282" s="3" t="s">
        <v>8165</v>
      </c>
      <c r="W282" s="3" t="s">
        <v>37</v>
      </c>
      <c r="X282" s="186">
        <v>44421</v>
      </c>
      <c r="AA282" s="1107"/>
    </row>
    <row r="283" spans="1:27" ht="39" x14ac:dyDescent="0.25">
      <c r="A283" s="339"/>
      <c r="B283" s="338"/>
      <c r="C283" s="277"/>
      <c r="D283" s="565"/>
      <c r="E283" s="565"/>
      <c r="F283" s="1005"/>
      <c r="G283" s="277"/>
      <c r="H283" s="277"/>
      <c r="I283" s="880"/>
      <c r="J283" s="191">
        <v>5115</v>
      </c>
      <c r="K283" s="366">
        <v>62</v>
      </c>
      <c r="L283" s="938">
        <v>1539096.89</v>
      </c>
      <c r="M283" s="938">
        <v>5173318.6100000003</v>
      </c>
      <c r="N283" s="275" t="s">
        <v>9392</v>
      </c>
      <c r="O283" s="275" t="s">
        <v>61</v>
      </c>
      <c r="P283" s="275" t="s">
        <v>419</v>
      </c>
      <c r="Q283" s="320" t="s">
        <v>9873</v>
      </c>
      <c r="R283" s="366" t="s">
        <v>9314</v>
      </c>
      <c r="S283" s="373" t="s">
        <v>10</v>
      </c>
      <c r="T283" s="855" t="s">
        <v>9386</v>
      </c>
      <c r="U283" s="3" t="s">
        <v>9316</v>
      </c>
      <c r="V283" s="3" t="s">
        <v>8165</v>
      </c>
      <c r="W283" s="3" t="s">
        <v>37</v>
      </c>
      <c r="X283" s="186">
        <v>44421</v>
      </c>
      <c r="AA283" s="1107"/>
    </row>
    <row r="284" spans="1:27" ht="26.25" x14ac:dyDescent="0.25">
      <c r="A284" s="339"/>
      <c r="B284" s="338"/>
      <c r="C284" s="277"/>
      <c r="D284" s="565"/>
      <c r="E284" s="565"/>
      <c r="F284" s="1005"/>
      <c r="G284" s="277"/>
      <c r="H284" s="277"/>
      <c r="I284" s="880"/>
      <c r="J284" s="191">
        <v>5116</v>
      </c>
      <c r="K284" s="366" t="s">
        <v>8292</v>
      </c>
      <c r="L284" s="938">
        <v>1539178.26</v>
      </c>
      <c r="M284" s="938">
        <v>5173344.12</v>
      </c>
      <c r="N284" s="275" t="s">
        <v>8293</v>
      </c>
      <c r="O284" s="275" t="s">
        <v>5</v>
      </c>
      <c r="P284" s="275">
        <v>1</v>
      </c>
      <c r="Q284" s="108" t="s">
        <v>10043</v>
      </c>
      <c r="R284" s="366" t="s">
        <v>10001</v>
      </c>
      <c r="S284" s="373" t="s">
        <v>10</v>
      </c>
      <c r="T284" s="855" t="s">
        <v>4131</v>
      </c>
      <c r="U284" s="3" t="s">
        <v>8544</v>
      </c>
      <c r="V284" s="3" t="s">
        <v>8165</v>
      </c>
      <c r="W284" s="3" t="s">
        <v>37</v>
      </c>
      <c r="X284" s="186">
        <v>44421</v>
      </c>
      <c r="AA284" s="1107"/>
    </row>
    <row r="285" spans="1:27" ht="39" x14ac:dyDescent="0.25">
      <c r="A285" s="339"/>
      <c r="B285" s="338"/>
      <c r="C285" s="277"/>
      <c r="D285" s="565"/>
      <c r="E285" s="565"/>
      <c r="F285" s="1005"/>
      <c r="G285" s="277"/>
      <c r="H285" s="277"/>
      <c r="I285" s="880"/>
      <c r="J285" s="191">
        <v>5117</v>
      </c>
      <c r="K285" s="366" t="s">
        <v>8296</v>
      </c>
      <c r="L285" s="938">
        <v>1539178.4</v>
      </c>
      <c r="M285" s="938">
        <v>5173344.13</v>
      </c>
      <c r="N285" s="275" t="s">
        <v>9393</v>
      </c>
      <c r="O285" s="275" t="s">
        <v>61</v>
      </c>
      <c r="P285" s="275" t="s">
        <v>419</v>
      </c>
      <c r="Q285" s="320" t="s">
        <v>9034</v>
      </c>
      <c r="R285" s="366" t="s">
        <v>9314</v>
      </c>
      <c r="S285" s="373" t="s">
        <v>10</v>
      </c>
      <c r="T285" s="855" t="s">
        <v>8182</v>
      </c>
      <c r="U285" s="3" t="s">
        <v>9316</v>
      </c>
      <c r="V285" s="3" t="s">
        <v>8165</v>
      </c>
      <c r="W285" s="3" t="s">
        <v>37</v>
      </c>
      <c r="X285" s="186">
        <v>44421</v>
      </c>
      <c r="AA285" s="1107"/>
    </row>
    <row r="286" spans="1:27" ht="26.25" x14ac:dyDescent="0.25">
      <c r="A286" s="339"/>
      <c r="B286" s="338"/>
      <c r="C286" s="277"/>
      <c r="D286" s="565"/>
      <c r="E286" s="565"/>
      <c r="F286" s="1005"/>
      <c r="G286" s="277"/>
      <c r="H286" s="277"/>
      <c r="I286" s="880"/>
      <c r="J286" s="191">
        <v>5118</v>
      </c>
      <c r="K286" s="366" t="s">
        <v>8294</v>
      </c>
      <c r="L286" s="938">
        <v>1539178.53</v>
      </c>
      <c r="M286" s="938">
        <v>5173344.1500000004</v>
      </c>
      <c r="N286" s="275" t="s">
        <v>8295</v>
      </c>
      <c r="O286" s="275" t="s">
        <v>5</v>
      </c>
      <c r="P286" s="275">
        <v>1</v>
      </c>
      <c r="Q286" s="108" t="s">
        <v>10042</v>
      </c>
      <c r="R286" s="366" t="s">
        <v>10001</v>
      </c>
      <c r="S286" s="373" t="s">
        <v>10</v>
      </c>
      <c r="T286" s="855" t="s">
        <v>4527</v>
      </c>
      <c r="U286" s="3" t="s">
        <v>8544</v>
      </c>
      <c r="V286" s="3" t="s">
        <v>8165</v>
      </c>
      <c r="W286" s="3" t="s">
        <v>37</v>
      </c>
      <c r="X286" s="186">
        <v>44421</v>
      </c>
      <c r="AA286" s="1107"/>
    </row>
    <row r="287" spans="1:27" ht="39" x14ac:dyDescent="0.25">
      <c r="A287" s="339"/>
      <c r="B287" s="338"/>
      <c r="C287" s="277"/>
      <c r="D287" s="565"/>
      <c r="E287" s="565"/>
      <c r="F287" s="1005"/>
      <c r="G287" s="277"/>
      <c r="H287" s="277"/>
      <c r="I287" s="880"/>
      <c r="J287" s="191">
        <v>5119</v>
      </c>
      <c r="K287" s="366">
        <v>64</v>
      </c>
      <c r="L287" s="938">
        <v>1539258.23</v>
      </c>
      <c r="M287" s="938">
        <v>5173350.26</v>
      </c>
      <c r="N287" s="275" t="s">
        <v>9394</v>
      </c>
      <c r="O287" s="275" t="s">
        <v>61</v>
      </c>
      <c r="P287" s="275" t="s">
        <v>419</v>
      </c>
      <c r="Q287" s="320" t="s">
        <v>9874</v>
      </c>
      <c r="R287" s="366" t="s">
        <v>9314</v>
      </c>
      <c r="S287" s="373" t="s">
        <v>10</v>
      </c>
      <c r="T287" s="855" t="s">
        <v>9386</v>
      </c>
      <c r="U287" s="3" t="s">
        <v>9316</v>
      </c>
      <c r="V287" s="3" t="s">
        <v>8165</v>
      </c>
      <c r="W287" s="3" t="s">
        <v>37</v>
      </c>
      <c r="X287" s="186">
        <v>44421</v>
      </c>
      <c r="AA287" s="1107"/>
    </row>
    <row r="288" spans="1:27" ht="26.25" x14ac:dyDescent="0.25">
      <c r="A288" s="339"/>
      <c r="B288" s="338"/>
      <c r="C288" s="277"/>
      <c r="D288" s="565"/>
      <c r="E288" s="565"/>
      <c r="F288" s="1005"/>
      <c r="G288" s="277"/>
      <c r="H288" s="277"/>
      <c r="I288" s="880"/>
      <c r="J288" s="191">
        <v>5120</v>
      </c>
      <c r="K288" s="366" t="s">
        <v>8297</v>
      </c>
      <c r="L288" s="938">
        <v>1539681.57</v>
      </c>
      <c r="M288" s="938">
        <v>5173388.1500000004</v>
      </c>
      <c r="N288" s="275" t="s">
        <v>8298</v>
      </c>
      <c r="O288" s="275" t="s">
        <v>5</v>
      </c>
      <c r="P288" s="275">
        <v>1</v>
      </c>
      <c r="Q288" s="320" t="s">
        <v>9875</v>
      </c>
      <c r="R288" s="366" t="s">
        <v>9318</v>
      </c>
      <c r="S288" s="373" t="s">
        <v>10</v>
      </c>
      <c r="T288" s="855" t="s">
        <v>4131</v>
      </c>
      <c r="U288" s="3" t="s">
        <v>8544</v>
      </c>
      <c r="V288" s="3" t="s">
        <v>8165</v>
      </c>
      <c r="W288" s="3" t="s">
        <v>37</v>
      </c>
      <c r="X288" s="186">
        <v>44421</v>
      </c>
      <c r="AA288" s="1107"/>
    </row>
    <row r="289" spans="1:27" ht="39" x14ac:dyDescent="0.25">
      <c r="A289" s="339"/>
      <c r="B289" s="338"/>
      <c r="C289" s="277"/>
      <c r="D289" s="565"/>
      <c r="E289" s="565"/>
      <c r="F289" s="1005"/>
      <c r="G289" s="277"/>
      <c r="H289" s="277"/>
      <c r="I289" s="880"/>
      <c r="J289" s="191">
        <v>5121</v>
      </c>
      <c r="K289" s="366" t="s">
        <v>8301</v>
      </c>
      <c r="L289" s="938">
        <v>1539712.47</v>
      </c>
      <c r="M289" s="938">
        <v>5173479.6500000004</v>
      </c>
      <c r="N289" s="275" t="s">
        <v>9395</v>
      </c>
      <c r="O289" s="275" t="s">
        <v>61</v>
      </c>
      <c r="P289" s="275" t="s">
        <v>419</v>
      </c>
      <c r="Q289" s="320" t="s">
        <v>9876</v>
      </c>
      <c r="R289" s="366" t="s">
        <v>9314</v>
      </c>
      <c r="S289" s="373" t="s">
        <v>10</v>
      </c>
      <c r="T289" s="855"/>
      <c r="U289" s="3" t="s">
        <v>9396</v>
      </c>
      <c r="V289" s="3" t="s">
        <v>8165</v>
      </c>
      <c r="W289" s="3" t="s">
        <v>37</v>
      </c>
      <c r="X289" s="186">
        <v>44421</v>
      </c>
      <c r="AA289" s="1107"/>
    </row>
    <row r="290" spans="1:27" ht="26.25" x14ac:dyDescent="0.25">
      <c r="A290" s="339"/>
      <c r="B290" s="338"/>
      <c r="C290" s="277"/>
      <c r="D290" s="565"/>
      <c r="E290" s="565"/>
      <c r="F290" s="1005"/>
      <c r="G290" s="277"/>
      <c r="H290" s="277"/>
      <c r="I290" s="880"/>
      <c r="J290" s="191">
        <v>5122</v>
      </c>
      <c r="K290" s="366" t="s">
        <v>8299</v>
      </c>
      <c r="L290" s="938">
        <v>1539741.3</v>
      </c>
      <c r="M290" s="938">
        <v>5173589.42</v>
      </c>
      <c r="N290" s="275" t="s">
        <v>8300</v>
      </c>
      <c r="O290" s="275" t="s">
        <v>5</v>
      </c>
      <c r="P290" s="275">
        <v>1</v>
      </c>
      <c r="Q290" s="320" t="s">
        <v>9866</v>
      </c>
      <c r="R290" s="366" t="s">
        <v>9318</v>
      </c>
      <c r="S290" s="373" t="s">
        <v>10</v>
      </c>
      <c r="T290" s="855" t="s">
        <v>8175</v>
      </c>
      <c r="U290" s="3" t="s">
        <v>8544</v>
      </c>
      <c r="V290" s="3" t="s">
        <v>8165</v>
      </c>
      <c r="W290" s="3" t="s">
        <v>37</v>
      </c>
      <c r="X290" s="186">
        <v>44421</v>
      </c>
      <c r="AA290" s="1107"/>
    </row>
    <row r="291" spans="1:27" ht="39" x14ac:dyDescent="0.25">
      <c r="A291" s="339"/>
      <c r="B291" s="338"/>
      <c r="C291" s="277"/>
      <c r="D291" s="565"/>
      <c r="E291" s="565"/>
      <c r="F291" s="1005"/>
      <c r="G291" s="277"/>
      <c r="H291" s="277"/>
      <c r="I291" s="880"/>
      <c r="J291" s="191">
        <v>5123</v>
      </c>
      <c r="K291" s="366">
        <v>66</v>
      </c>
      <c r="L291" s="938">
        <v>1539757.11</v>
      </c>
      <c r="M291" s="938">
        <v>5173588.78</v>
      </c>
      <c r="N291" s="275" t="s">
        <v>9397</v>
      </c>
      <c r="O291" s="275" t="s">
        <v>61</v>
      </c>
      <c r="P291" s="275" t="s">
        <v>419</v>
      </c>
      <c r="Q291" s="320" t="s">
        <v>9877</v>
      </c>
      <c r="R291" s="366" t="s">
        <v>9314</v>
      </c>
      <c r="S291" s="373" t="s">
        <v>10</v>
      </c>
      <c r="T291" s="855" t="s">
        <v>9386</v>
      </c>
      <c r="U291" s="3" t="s">
        <v>9398</v>
      </c>
      <c r="V291" s="3" t="s">
        <v>8165</v>
      </c>
      <c r="W291" s="3" t="s">
        <v>37</v>
      </c>
      <c r="X291" s="186">
        <v>44421</v>
      </c>
      <c r="AA291" s="1107"/>
    </row>
    <row r="292" spans="1:27" ht="39" x14ac:dyDescent="0.25">
      <c r="A292" s="339"/>
      <c r="B292" s="338"/>
      <c r="C292" s="277"/>
      <c r="D292" s="565"/>
      <c r="E292" s="565"/>
      <c r="F292" s="1005"/>
      <c r="G292" s="277"/>
      <c r="H292" s="277"/>
      <c r="I292" s="880"/>
      <c r="J292" s="191">
        <v>5124</v>
      </c>
      <c r="K292" s="366">
        <v>67</v>
      </c>
      <c r="L292" s="938">
        <v>1539781.84</v>
      </c>
      <c r="M292" s="938">
        <v>5173587.76</v>
      </c>
      <c r="N292" s="275" t="s">
        <v>9399</v>
      </c>
      <c r="O292" s="275" t="s">
        <v>61</v>
      </c>
      <c r="P292" s="275" t="s">
        <v>419</v>
      </c>
      <c r="Q292" s="320" t="s">
        <v>9878</v>
      </c>
      <c r="R292" s="366" t="s">
        <v>9314</v>
      </c>
      <c r="S292" s="373" t="s">
        <v>16</v>
      </c>
      <c r="T292" s="855" t="s">
        <v>9386</v>
      </c>
      <c r="U292" s="3" t="s">
        <v>9398</v>
      </c>
      <c r="V292" s="3" t="s">
        <v>8165</v>
      </c>
      <c r="W292" s="3" t="s">
        <v>37</v>
      </c>
      <c r="X292" s="186">
        <v>44421</v>
      </c>
      <c r="AA292" s="1107"/>
    </row>
    <row r="293" spans="1:27" ht="39" x14ac:dyDescent="0.25">
      <c r="A293" s="339"/>
      <c r="B293" s="338"/>
      <c r="C293" s="277"/>
      <c r="D293" s="565"/>
      <c r="E293" s="565"/>
      <c r="F293" s="1005"/>
      <c r="G293" s="277"/>
      <c r="H293" s="277"/>
      <c r="I293" s="880"/>
      <c r="J293" s="191">
        <v>5125</v>
      </c>
      <c r="K293" s="366">
        <v>68</v>
      </c>
      <c r="L293" s="938">
        <v>1539942.71</v>
      </c>
      <c r="M293" s="938">
        <v>5173608.16</v>
      </c>
      <c r="N293" s="275" t="s">
        <v>9400</v>
      </c>
      <c r="O293" s="275" t="s">
        <v>61</v>
      </c>
      <c r="P293" s="275" t="s">
        <v>419</v>
      </c>
      <c r="Q293" s="320" t="s">
        <v>9879</v>
      </c>
      <c r="R293" s="366" t="s">
        <v>9314</v>
      </c>
      <c r="S293" s="373" t="s">
        <v>10</v>
      </c>
      <c r="T293" s="855" t="s">
        <v>9401</v>
      </c>
      <c r="U293" s="3" t="s">
        <v>9398</v>
      </c>
      <c r="V293" s="3" t="s">
        <v>8165</v>
      </c>
      <c r="W293" s="3" t="s">
        <v>37</v>
      </c>
      <c r="X293" s="186">
        <v>44421</v>
      </c>
      <c r="AA293" s="1107"/>
    </row>
    <row r="294" spans="1:27" ht="26.25" x14ac:dyDescent="0.25">
      <c r="A294" s="339"/>
      <c r="B294" s="338"/>
      <c r="C294" s="277"/>
      <c r="D294" s="565"/>
      <c r="E294" s="565"/>
      <c r="F294" s="1005"/>
      <c r="G294" s="277"/>
      <c r="H294" s="277"/>
      <c r="I294" s="880"/>
      <c r="J294" s="191">
        <v>5126</v>
      </c>
      <c r="K294" s="366" t="s">
        <v>8303</v>
      </c>
      <c r="L294" s="938">
        <v>1540258.03</v>
      </c>
      <c r="M294" s="938">
        <v>5173639.4800000004</v>
      </c>
      <c r="N294" s="275" t="s">
        <v>8304</v>
      </c>
      <c r="O294" s="275" t="s">
        <v>5</v>
      </c>
      <c r="P294" s="275">
        <v>1</v>
      </c>
      <c r="Q294" s="108" t="s">
        <v>10041</v>
      </c>
      <c r="R294" s="366" t="s">
        <v>10001</v>
      </c>
      <c r="S294" s="373" t="s">
        <v>10</v>
      </c>
      <c r="T294" s="855" t="s">
        <v>8187</v>
      </c>
      <c r="U294" s="3" t="s">
        <v>8544</v>
      </c>
      <c r="V294" s="3" t="s">
        <v>8165</v>
      </c>
      <c r="W294" s="3" t="s">
        <v>37</v>
      </c>
      <c r="X294" s="186">
        <v>44421</v>
      </c>
      <c r="AA294" s="1107"/>
    </row>
    <row r="295" spans="1:27" ht="39" x14ac:dyDescent="0.25">
      <c r="A295" s="339"/>
      <c r="B295" s="338"/>
      <c r="C295" s="277"/>
      <c r="D295" s="565"/>
      <c r="E295" s="565"/>
      <c r="F295" s="1005"/>
      <c r="G295" s="277"/>
      <c r="H295" s="277"/>
      <c r="I295" s="880"/>
      <c r="J295" s="191">
        <v>5127</v>
      </c>
      <c r="K295" s="366" t="s">
        <v>8305</v>
      </c>
      <c r="L295" s="938">
        <v>1540260.32</v>
      </c>
      <c r="M295" s="938">
        <v>5173639.5599999996</v>
      </c>
      <c r="N295" s="275" t="s">
        <v>9402</v>
      </c>
      <c r="O295" s="275" t="s">
        <v>61</v>
      </c>
      <c r="P295" s="275" t="s">
        <v>419</v>
      </c>
      <c r="Q295" s="320" t="s">
        <v>9403</v>
      </c>
      <c r="R295" s="366" t="s">
        <v>9314</v>
      </c>
      <c r="S295" s="373" t="s">
        <v>10</v>
      </c>
      <c r="T295" s="855"/>
      <c r="U295" s="3" t="s">
        <v>9396</v>
      </c>
      <c r="V295" s="3" t="s">
        <v>8165</v>
      </c>
      <c r="W295" s="3" t="s">
        <v>37</v>
      </c>
      <c r="X295" s="186">
        <v>44421</v>
      </c>
      <c r="AA295" s="1107"/>
    </row>
    <row r="296" spans="1:27" ht="26.25" x14ac:dyDescent="0.25">
      <c r="A296" s="339"/>
      <c r="B296" s="338"/>
      <c r="C296" s="277"/>
      <c r="D296" s="565"/>
      <c r="E296" s="565"/>
      <c r="F296" s="1005"/>
      <c r="G296" s="277"/>
      <c r="H296" s="277"/>
      <c r="I296" s="880"/>
      <c r="J296" s="191">
        <v>5128</v>
      </c>
      <c r="K296" s="366" t="s">
        <v>8302</v>
      </c>
      <c r="L296" s="938">
        <v>1540262.2</v>
      </c>
      <c r="M296" s="938">
        <v>5173639.55</v>
      </c>
      <c r="N296" s="275" t="s">
        <v>4499</v>
      </c>
      <c r="O296" s="275" t="s">
        <v>5</v>
      </c>
      <c r="P296" s="275">
        <v>1</v>
      </c>
      <c r="Q296" s="108" t="s">
        <v>9301</v>
      </c>
      <c r="R296" s="366" t="s">
        <v>10001</v>
      </c>
      <c r="S296" s="373" t="s">
        <v>10</v>
      </c>
      <c r="T296" s="855" t="s">
        <v>8187</v>
      </c>
      <c r="U296" s="3" t="s">
        <v>8544</v>
      </c>
      <c r="V296" s="3" t="s">
        <v>8165</v>
      </c>
      <c r="W296" s="3" t="s">
        <v>37</v>
      </c>
      <c r="X296" s="186">
        <v>44421</v>
      </c>
      <c r="AA296" s="1107"/>
    </row>
    <row r="297" spans="1:27" ht="26.25" x14ac:dyDescent="0.25">
      <c r="A297" s="339"/>
      <c r="B297" s="338"/>
      <c r="C297" s="277"/>
      <c r="D297" s="565"/>
      <c r="E297" s="565"/>
      <c r="F297" s="1005"/>
      <c r="G297" s="277"/>
      <c r="H297" s="277"/>
      <c r="I297" s="880"/>
      <c r="J297" s="191">
        <v>5129</v>
      </c>
      <c r="K297" s="366" t="s">
        <v>8306</v>
      </c>
      <c r="L297" s="938">
        <v>1540529.45</v>
      </c>
      <c r="M297" s="938">
        <v>5173645.01</v>
      </c>
      <c r="N297" s="275" t="s">
        <v>8307</v>
      </c>
      <c r="O297" s="275" t="s">
        <v>5</v>
      </c>
      <c r="P297" s="275">
        <v>1</v>
      </c>
      <c r="Q297" s="320" t="s">
        <v>9880</v>
      </c>
      <c r="R297" s="366" t="s">
        <v>9318</v>
      </c>
      <c r="S297" s="373" t="s">
        <v>10</v>
      </c>
      <c r="T297" s="855" t="s">
        <v>8175</v>
      </c>
      <c r="U297" s="3" t="s">
        <v>8544</v>
      </c>
      <c r="V297" s="3" t="s">
        <v>8165</v>
      </c>
      <c r="W297" s="3" t="s">
        <v>37</v>
      </c>
      <c r="X297" s="186">
        <v>44421</v>
      </c>
      <c r="AA297" s="1107"/>
    </row>
    <row r="298" spans="1:27" ht="26.25" x14ac:dyDescent="0.25">
      <c r="A298" s="339"/>
      <c r="B298" s="338"/>
      <c r="C298" s="277"/>
      <c r="D298" s="565"/>
      <c r="E298" s="565"/>
      <c r="F298" s="1005"/>
      <c r="G298" s="277"/>
      <c r="H298" s="277"/>
      <c r="I298" s="880"/>
      <c r="J298" s="191">
        <v>5130</v>
      </c>
      <c r="K298" s="366" t="s">
        <v>8310</v>
      </c>
      <c r="L298" s="938">
        <v>1540547.16</v>
      </c>
      <c r="M298" s="938">
        <v>5173705.7699999996</v>
      </c>
      <c r="N298" s="275" t="s">
        <v>9404</v>
      </c>
      <c r="O298" s="275" t="s">
        <v>61</v>
      </c>
      <c r="P298" s="275" t="s">
        <v>419</v>
      </c>
      <c r="Q298" s="320" t="s">
        <v>9881</v>
      </c>
      <c r="R298" s="366" t="s">
        <v>9314</v>
      </c>
      <c r="S298" s="373" t="s">
        <v>10</v>
      </c>
      <c r="T298" s="855"/>
      <c r="U298" s="3" t="s">
        <v>8552</v>
      </c>
      <c r="V298" s="3" t="s">
        <v>8165</v>
      </c>
      <c r="W298" s="3" t="s">
        <v>37</v>
      </c>
      <c r="X298" s="186">
        <v>44421</v>
      </c>
      <c r="AA298" s="1107"/>
    </row>
    <row r="299" spans="1:27" ht="26.25" x14ac:dyDescent="0.25">
      <c r="A299" s="339"/>
      <c r="B299" s="338"/>
      <c r="C299" s="277"/>
      <c r="D299" s="565"/>
      <c r="E299" s="565"/>
      <c r="F299" s="1005"/>
      <c r="G299" s="277"/>
      <c r="H299" s="277"/>
      <c r="I299" s="880"/>
      <c r="J299" s="191">
        <v>5131</v>
      </c>
      <c r="K299" s="366" t="s">
        <v>8308</v>
      </c>
      <c r="L299" s="938">
        <v>1540560.1</v>
      </c>
      <c r="M299" s="938">
        <v>5173752.3</v>
      </c>
      <c r="N299" s="275" t="s">
        <v>8309</v>
      </c>
      <c r="O299" s="275" t="s">
        <v>5</v>
      </c>
      <c r="P299" s="275">
        <v>1</v>
      </c>
      <c r="Q299" s="320" t="s">
        <v>9882</v>
      </c>
      <c r="R299" s="366" t="s">
        <v>9318</v>
      </c>
      <c r="S299" s="373" t="s">
        <v>10</v>
      </c>
      <c r="T299" s="855" t="s">
        <v>8175</v>
      </c>
      <c r="U299" s="3" t="s">
        <v>8544</v>
      </c>
      <c r="V299" s="3" t="s">
        <v>8165</v>
      </c>
      <c r="W299" s="3" t="s">
        <v>37</v>
      </c>
      <c r="X299" s="186">
        <v>44421</v>
      </c>
      <c r="AA299" s="1107"/>
    </row>
    <row r="300" spans="1:27" ht="26.25" x14ac:dyDescent="0.25">
      <c r="A300" s="339"/>
      <c r="B300" s="338"/>
      <c r="C300" s="277"/>
      <c r="D300" s="565"/>
      <c r="E300" s="565"/>
      <c r="F300" s="1005"/>
      <c r="G300" s="277"/>
      <c r="H300" s="277"/>
      <c r="I300" s="880"/>
      <c r="J300" s="191">
        <v>5132</v>
      </c>
      <c r="K300" s="366" t="s">
        <v>8311</v>
      </c>
      <c r="L300" s="938">
        <v>1541109.79</v>
      </c>
      <c r="M300" s="938">
        <v>5173883.4000000004</v>
      </c>
      <c r="N300" s="275" t="s">
        <v>8312</v>
      </c>
      <c r="O300" s="275" t="s">
        <v>5</v>
      </c>
      <c r="P300" s="275">
        <v>1</v>
      </c>
      <c r="Q300" s="320" t="s">
        <v>8312</v>
      </c>
      <c r="R300" s="366" t="s">
        <v>9318</v>
      </c>
      <c r="S300" s="373" t="s">
        <v>16</v>
      </c>
      <c r="T300" s="855" t="s">
        <v>8313</v>
      </c>
      <c r="U300" s="3" t="s">
        <v>8544</v>
      </c>
      <c r="V300" s="3" t="s">
        <v>8165</v>
      </c>
      <c r="W300" s="3" t="s">
        <v>37</v>
      </c>
      <c r="X300" s="186">
        <v>44421</v>
      </c>
      <c r="AA300" s="1107"/>
    </row>
    <row r="301" spans="1:27" ht="26.25" x14ac:dyDescent="0.25">
      <c r="A301" s="339"/>
      <c r="B301" s="338"/>
      <c r="C301" s="277"/>
      <c r="D301" s="565"/>
      <c r="E301" s="565"/>
      <c r="F301" s="1005"/>
      <c r="G301" s="277"/>
      <c r="H301" s="277"/>
      <c r="I301" s="880"/>
      <c r="J301" s="191">
        <v>5133</v>
      </c>
      <c r="K301" s="366" t="s">
        <v>8314</v>
      </c>
      <c r="L301" s="938">
        <v>1541125.07</v>
      </c>
      <c r="M301" s="938">
        <v>5173883.7300000004</v>
      </c>
      <c r="N301" s="275" t="s">
        <v>4170</v>
      </c>
      <c r="O301" s="275" t="s">
        <v>5</v>
      </c>
      <c r="P301" s="275">
        <v>1</v>
      </c>
      <c r="Q301" s="108" t="s">
        <v>10032</v>
      </c>
      <c r="R301" s="366" t="s">
        <v>10001</v>
      </c>
      <c r="S301" s="373" t="s">
        <v>10</v>
      </c>
      <c r="T301" s="855" t="s">
        <v>8363</v>
      </c>
      <c r="U301" s="3" t="s">
        <v>8544</v>
      </c>
      <c r="V301" s="3" t="s">
        <v>8165</v>
      </c>
      <c r="W301" s="3" t="s">
        <v>37</v>
      </c>
      <c r="X301" s="186">
        <v>44421</v>
      </c>
      <c r="AA301" s="1107"/>
    </row>
    <row r="302" spans="1:27" ht="26.25" x14ac:dyDescent="0.25">
      <c r="A302" s="339"/>
      <c r="B302" s="338"/>
      <c r="C302" s="277"/>
      <c r="D302" s="565"/>
      <c r="E302" s="565"/>
      <c r="F302" s="1005"/>
      <c r="G302" s="277"/>
      <c r="H302" s="277"/>
      <c r="I302" s="880"/>
      <c r="J302" s="191">
        <v>5134</v>
      </c>
      <c r="K302" s="366" t="s">
        <v>8318</v>
      </c>
      <c r="L302" s="938">
        <v>1541131.4</v>
      </c>
      <c r="M302" s="938">
        <v>5173883.87</v>
      </c>
      <c r="N302" s="275" t="s">
        <v>8319</v>
      </c>
      <c r="O302" s="275" t="s">
        <v>5</v>
      </c>
      <c r="P302" s="275">
        <v>1</v>
      </c>
      <c r="Q302" s="108" t="s">
        <v>10040</v>
      </c>
      <c r="R302" s="366" t="s">
        <v>10001</v>
      </c>
      <c r="S302" s="373" t="s">
        <v>10</v>
      </c>
      <c r="T302" s="855"/>
      <c r="U302" s="3" t="s">
        <v>8547</v>
      </c>
      <c r="V302" s="3" t="s">
        <v>8165</v>
      </c>
      <c r="W302" s="3" t="s">
        <v>37</v>
      </c>
      <c r="X302" s="186">
        <v>44421</v>
      </c>
      <c r="AA302" s="1107"/>
    </row>
    <row r="303" spans="1:27" ht="26.25" x14ac:dyDescent="0.25">
      <c r="A303" s="339"/>
      <c r="B303" s="338"/>
      <c r="C303" s="277"/>
      <c r="D303" s="565"/>
      <c r="E303" s="565"/>
      <c r="F303" s="1005"/>
      <c r="G303" s="277"/>
      <c r="H303" s="277"/>
      <c r="I303" s="880"/>
      <c r="J303" s="191">
        <v>5135</v>
      </c>
      <c r="K303" s="366" t="s">
        <v>8317</v>
      </c>
      <c r="L303" s="938">
        <v>1541131.4</v>
      </c>
      <c r="M303" s="938">
        <v>5173883.87</v>
      </c>
      <c r="N303" s="275" t="s">
        <v>9405</v>
      </c>
      <c r="O303" s="275" t="s">
        <v>61</v>
      </c>
      <c r="P303" s="275" t="s">
        <v>419</v>
      </c>
      <c r="Q303" s="320" t="s">
        <v>9883</v>
      </c>
      <c r="R303" s="366" t="s">
        <v>9314</v>
      </c>
      <c r="S303" s="373" t="s">
        <v>10</v>
      </c>
      <c r="T303" s="855"/>
      <c r="U303" s="3" t="s">
        <v>8550</v>
      </c>
      <c r="V303" s="3" t="s">
        <v>8165</v>
      </c>
      <c r="W303" s="3" t="s">
        <v>37</v>
      </c>
      <c r="X303" s="186">
        <v>44421</v>
      </c>
      <c r="AA303" s="1107"/>
    </row>
    <row r="304" spans="1:27" ht="26.25" x14ac:dyDescent="0.25">
      <c r="A304" s="339"/>
      <c r="B304" s="338"/>
      <c r="C304" s="277"/>
      <c r="D304" s="565"/>
      <c r="E304" s="565"/>
      <c r="F304" s="1005"/>
      <c r="G304" s="277"/>
      <c r="H304" s="277"/>
      <c r="I304" s="880"/>
      <c r="J304" s="191">
        <v>5136</v>
      </c>
      <c r="K304" s="366" t="s">
        <v>8315</v>
      </c>
      <c r="L304" s="938">
        <v>1541148.21</v>
      </c>
      <c r="M304" s="938">
        <v>5173884.26</v>
      </c>
      <c r="N304" s="275" t="s">
        <v>8316</v>
      </c>
      <c r="O304" s="275" t="s">
        <v>5</v>
      </c>
      <c r="P304" s="275">
        <v>1</v>
      </c>
      <c r="Q304" s="320" t="s">
        <v>9884</v>
      </c>
      <c r="R304" s="366" t="s">
        <v>9318</v>
      </c>
      <c r="S304" s="373" t="s">
        <v>10</v>
      </c>
      <c r="T304" s="855" t="s">
        <v>8173</v>
      </c>
      <c r="U304" s="3" t="s">
        <v>8544</v>
      </c>
      <c r="V304" s="3" t="s">
        <v>8165</v>
      </c>
      <c r="W304" s="3" t="s">
        <v>37</v>
      </c>
      <c r="X304" s="186">
        <v>44421</v>
      </c>
      <c r="AA304" s="1107"/>
    </row>
    <row r="305" spans="1:27" ht="39" x14ac:dyDescent="0.25">
      <c r="A305" s="339"/>
      <c r="B305" s="338"/>
      <c r="C305" s="277"/>
      <c r="D305" s="565"/>
      <c r="E305" s="565"/>
      <c r="F305" s="1005"/>
      <c r="G305" s="277"/>
      <c r="H305" s="277"/>
      <c r="I305" s="880"/>
      <c r="J305" s="191">
        <v>5137</v>
      </c>
      <c r="K305" s="366">
        <v>72</v>
      </c>
      <c r="L305" s="938">
        <v>1541415.53</v>
      </c>
      <c r="M305" s="938">
        <v>5173896.79</v>
      </c>
      <c r="N305" s="275" t="s">
        <v>9406</v>
      </c>
      <c r="O305" s="275" t="s">
        <v>61</v>
      </c>
      <c r="P305" s="275" t="s">
        <v>419</v>
      </c>
      <c r="Q305" s="320" t="s">
        <v>9885</v>
      </c>
      <c r="R305" s="366" t="s">
        <v>9314</v>
      </c>
      <c r="S305" s="373" t="s">
        <v>16</v>
      </c>
      <c r="T305" s="855" t="s">
        <v>9360</v>
      </c>
      <c r="U305" s="3" t="s">
        <v>9329</v>
      </c>
      <c r="V305" s="3" t="s">
        <v>8165</v>
      </c>
      <c r="W305" s="3" t="s">
        <v>37</v>
      </c>
      <c r="X305" s="186">
        <v>44421</v>
      </c>
      <c r="AA305" s="1107"/>
    </row>
    <row r="306" spans="1:27" ht="39" x14ac:dyDescent="0.25">
      <c r="A306" s="339"/>
      <c r="B306" s="338"/>
      <c r="C306" s="277"/>
      <c r="D306" s="565"/>
      <c r="E306" s="565"/>
      <c r="F306" s="1005"/>
      <c r="G306" s="277"/>
      <c r="H306" s="277"/>
      <c r="I306" s="880"/>
      <c r="J306" s="191">
        <v>5138</v>
      </c>
      <c r="K306" s="366">
        <v>73</v>
      </c>
      <c r="L306" s="938">
        <v>1541713.72</v>
      </c>
      <c r="M306" s="938">
        <v>5173902.46</v>
      </c>
      <c r="N306" s="275" t="s">
        <v>9407</v>
      </c>
      <c r="O306" s="275" t="s">
        <v>61</v>
      </c>
      <c r="P306" s="275" t="s">
        <v>419</v>
      </c>
      <c r="Q306" s="320" t="s">
        <v>9886</v>
      </c>
      <c r="R306" s="366" t="s">
        <v>9314</v>
      </c>
      <c r="S306" s="373" t="s">
        <v>10</v>
      </c>
      <c r="T306" s="855" t="s">
        <v>9315</v>
      </c>
      <c r="U306" s="3" t="s">
        <v>9316</v>
      </c>
      <c r="V306" s="3" t="s">
        <v>8165</v>
      </c>
      <c r="W306" s="3" t="s">
        <v>37</v>
      </c>
      <c r="X306" s="186">
        <v>44421</v>
      </c>
      <c r="AA306" s="1107"/>
    </row>
    <row r="307" spans="1:27" ht="39" x14ac:dyDescent="0.25">
      <c r="A307" s="339"/>
      <c r="B307" s="338"/>
      <c r="C307" s="277"/>
      <c r="D307" s="565"/>
      <c r="E307" s="565"/>
      <c r="F307" s="1005"/>
      <c r="G307" s="277"/>
      <c r="H307" s="277"/>
      <c r="I307" s="880"/>
      <c r="J307" s="191">
        <v>5139</v>
      </c>
      <c r="K307" s="366">
        <v>74</v>
      </c>
      <c r="L307" s="938">
        <v>1541778.77</v>
      </c>
      <c r="M307" s="938">
        <v>5173903.7</v>
      </c>
      <c r="N307" s="275" t="s">
        <v>9408</v>
      </c>
      <c r="O307" s="275" t="s">
        <v>61</v>
      </c>
      <c r="P307" s="275" t="s">
        <v>419</v>
      </c>
      <c r="Q307" s="320" t="s">
        <v>9875</v>
      </c>
      <c r="R307" s="366" t="s">
        <v>9314</v>
      </c>
      <c r="S307" s="373" t="s">
        <v>10</v>
      </c>
      <c r="T307" s="855" t="s">
        <v>9315</v>
      </c>
      <c r="U307" s="3" t="s">
        <v>9316</v>
      </c>
      <c r="V307" s="3" t="s">
        <v>8165</v>
      </c>
      <c r="W307" s="3" t="s">
        <v>37</v>
      </c>
      <c r="X307" s="186">
        <v>44421</v>
      </c>
      <c r="AA307" s="1107"/>
    </row>
    <row r="308" spans="1:27" ht="39" x14ac:dyDescent="0.25">
      <c r="A308" s="339"/>
      <c r="B308" s="338"/>
      <c r="C308" s="277"/>
      <c r="D308" s="565"/>
      <c r="E308" s="565"/>
      <c r="F308" s="1005"/>
      <c r="G308" s="277"/>
      <c r="H308" s="277"/>
      <c r="I308" s="880"/>
      <c r="J308" s="191">
        <v>5140</v>
      </c>
      <c r="K308" s="366">
        <v>75</v>
      </c>
      <c r="L308" s="938">
        <v>1542033.43</v>
      </c>
      <c r="M308" s="938">
        <v>5173908.5199999996</v>
      </c>
      <c r="N308" s="275" t="s">
        <v>9409</v>
      </c>
      <c r="O308" s="275" t="s">
        <v>61</v>
      </c>
      <c r="P308" s="275" t="s">
        <v>419</v>
      </c>
      <c r="Q308" s="320" t="s">
        <v>9827</v>
      </c>
      <c r="R308" s="366" t="s">
        <v>9314</v>
      </c>
      <c r="S308" s="373" t="s">
        <v>10</v>
      </c>
      <c r="T308" s="855" t="s">
        <v>9315</v>
      </c>
      <c r="U308" s="3" t="s">
        <v>9316</v>
      </c>
      <c r="V308" s="3" t="s">
        <v>8165</v>
      </c>
      <c r="W308" s="3" t="s">
        <v>37</v>
      </c>
      <c r="X308" s="186">
        <v>44421</v>
      </c>
      <c r="AA308" s="1107"/>
    </row>
    <row r="309" spans="1:27" ht="26.25" x14ac:dyDescent="0.25">
      <c r="A309" s="339"/>
      <c r="B309" s="338"/>
      <c r="C309" s="277"/>
      <c r="D309" s="565"/>
      <c r="E309" s="565"/>
      <c r="F309" s="1005"/>
      <c r="G309" s="277"/>
      <c r="H309" s="277"/>
      <c r="I309" s="880"/>
      <c r="J309" s="191">
        <v>5141</v>
      </c>
      <c r="K309" s="366" t="s">
        <v>8320</v>
      </c>
      <c r="L309" s="938">
        <v>1542389.64</v>
      </c>
      <c r="M309" s="938">
        <v>5173871.8099999996</v>
      </c>
      <c r="N309" s="275" t="s">
        <v>8321</v>
      </c>
      <c r="O309" s="275" t="s">
        <v>5</v>
      </c>
      <c r="P309" s="275">
        <v>1</v>
      </c>
      <c r="Q309" s="320" t="s">
        <v>9887</v>
      </c>
      <c r="R309" s="366" t="s">
        <v>9318</v>
      </c>
      <c r="S309" s="373" t="s">
        <v>10</v>
      </c>
      <c r="T309" s="855" t="s">
        <v>8176</v>
      </c>
      <c r="U309" s="3" t="s">
        <v>8544</v>
      </c>
      <c r="V309" s="3" t="s">
        <v>8165</v>
      </c>
      <c r="W309" s="3" t="s">
        <v>37</v>
      </c>
      <c r="X309" s="186">
        <v>44421</v>
      </c>
      <c r="AA309" s="1107"/>
    </row>
    <row r="310" spans="1:27" ht="39" x14ac:dyDescent="0.25">
      <c r="A310" s="339"/>
      <c r="B310" s="338"/>
      <c r="C310" s="277"/>
      <c r="D310" s="565"/>
      <c r="E310" s="565"/>
      <c r="F310" s="1005"/>
      <c r="G310" s="277"/>
      <c r="H310" s="277"/>
      <c r="I310" s="880"/>
      <c r="J310" s="191">
        <v>5142</v>
      </c>
      <c r="K310" s="366" t="s">
        <v>8324</v>
      </c>
      <c r="L310" s="938">
        <v>1542400.82</v>
      </c>
      <c r="M310" s="938">
        <v>5173870.17</v>
      </c>
      <c r="N310" s="275" t="s">
        <v>9410</v>
      </c>
      <c r="O310" s="275" t="s">
        <v>61</v>
      </c>
      <c r="P310" s="275" t="s">
        <v>419</v>
      </c>
      <c r="Q310" s="320" t="s">
        <v>9888</v>
      </c>
      <c r="R310" s="366" t="s">
        <v>9314</v>
      </c>
      <c r="S310" s="373" t="s">
        <v>10</v>
      </c>
      <c r="T310" s="855"/>
      <c r="U310" s="3" t="s">
        <v>9411</v>
      </c>
      <c r="V310" s="3" t="s">
        <v>8165</v>
      </c>
      <c r="W310" s="3" t="s">
        <v>37</v>
      </c>
      <c r="X310" s="186">
        <v>44421</v>
      </c>
      <c r="AA310" s="1107"/>
    </row>
    <row r="311" spans="1:27" ht="39" x14ac:dyDescent="0.25">
      <c r="A311" s="339"/>
      <c r="B311" s="338"/>
      <c r="C311" s="277"/>
      <c r="D311" s="565"/>
      <c r="E311" s="565"/>
      <c r="F311" s="1005"/>
      <c r="G311" s="277"/>
      <c r="H311" s="277"/>
      <c r="I311" s="880"/>
      <c r="J311" s="191">
        <v>5143</v>
      </c>
      <c r="K311" s="366">
        <v>97</v>
      </c>
      <c r="L311" s="938">
        <v>1542407.77</v>
      </c>
      <c r="M311" s="938">
        <v>5174812.22</v>
      </c>
      <c r="N311" s="275" t="s">
        <v>9412</v>
      </c>
      <c r="O311" s="275" t="s">
        <v>61</v>
      </c>
      <c r="P311" s="275">
        <v>1</v>
      </c>
      <c r="Q311" s="320">
        <v>0</v>
      </c>
      <c r="R311" s="366" t="s">
        <v>10022</v>
      </c>
      <c r="S311" s="373" t="s">
        <v>10</v>
      </c>
      <c r="T311" s="855" t="s">
        <v>9413</v>
      </c>
      <c r="U311" s="3" t="s">
        <v>9414</v>
      </c>
      <c r="V311" s="3" t="s">
        <v>8165</v>
      </c>
      <c r="W311" s="3" t="s">
        <v>37</v>
      </c>
      <c r="X311" s="186">
        <v>44421</v>
      </c>
      <c r="AA311" s="1107"/>
    </row>
    <row r="312" spans="1:27" ht="26.25" x14ac:dyDescent="0.25">
      <c r="A312" s="339"/>
      <c r="B312" s="338"/>
      <c r="C312" s="277"/>
      <c r="D312" s="565"/>
      <c r="E312" s="565"/>
      <c r="F312" s="1005"/>
      <c r="G312" s="277"/>
      <c r="H312" s="277"/>
      <c r="I312" s="880"/>
      <c r="J312" s="191">
        <v>5144</v>
      </c>
      <c r="K312" s="366" t="s">
        <v>8322</v>
      </c>
      <c r="L312" s="938">
        <v>1542411.26</v>
      </c>
      <c r="M312" s="938">
        <v>5173868.37</v>
      </c>
      <c r="N312" s="275" t="s">
        <v>8323</v>
      </c>
      <c r="O312" s="275" t="s">
        <v>5</v>
      </c>
      <c r="P312" s="275">
        <v>1</v>
      </c>
      <c r="Q312" s="108" t="s">
        <v>10034</v>
      </c>
      <c r="R312" s="366" t="s">
        <v>10001</v>
      </c>
      <c r="S312" s="373" t="s">
        <v>10</v>
      </c>
      <c r="T312" s="855" t="s">
        <v>8176</v>
      </c>
      <c r="U312" s="3" t="s">
        <v>8544</v>
      </c>
      <c r="V312" s="3" t="s">
        <v>8165</v>
      </c>
      <c r="W312" s="3" t="s">
        <v>37</v>
      </c>
      <c r="X312" s="186">
        <v>44421</v>
      </c>
      <c r="AA312" s="1107"/>
    </row>
    <row r="313" spans="1:27" ht="26.25" x14ac:dyDescent="0.25">
      <c r="A313" s="339"/>
      <c r="B313" s="338"/>
      <c r="C313" s="277"/>
      <c r="D313" s="565"/>
      <c r="E313" s="565"/>
      <c r="F313" s="1005"/>
      <c r="G313" s="277"/>
      <c r="H313" s="277"/>
      <c r="I313" s="880"/>
      <c r="J313" s="191">
        <v>5145</v>
      </c>
      <c r="K313" s="366" t="s">
        <v>8343</v>
      </c>
      <c r="L313" s="938">
        <v>1542675.77</v>
      </c>
      <c r="M313" s="938">
        <v>5174812.3</v>
      </c>
      <c r="N313" s="275" t="s">
        <v>8344</v>
      </c>
      <c r="O313" s="275" t="s">
        <v>5</v>
      </c>
      <c r="P313" s="275">
        <v>1</v>
      </c>
      <c r="Q313" s="108" t="s">
        <v>10004</v>
      </c>
      <c r="R313" s="366" t="s">
        <v>10001</v>
      </c>
      <c r="S313" s="373" t="s">
        <v>10</v>
      </c>
      <c r="T313" s="855" t="s">
        <v>8329</v>
      </c>
      <c r="U313" s="3" t="s">
        <v>8544</v>
      </c>
      <c r="V313" s="3" t="s">
        <v>8165</v>
      </c>
      <c r="W313" s="3" t="s">
        <v>37</v>
      </c>
      <c r="X313" s="186">
        <v>44421</v>
      </c>
      <c r="AA313" s="1107"/>
    </row>
    <row r="314" spans="1:27" ht="26.25" x14ac:dyDescent="0.25">
      <c r="A314" s="339"/>
      <c r="B314" s="338"/>
      <c r="C314" s="277"/>
      <c r="D314" s="565"/>
      <c r="E314" s="565"/>
      <c r="F314" s="1005"/>
      <c r="G314" s="277"/>
      <c r="H314" s="277"/>
      <c r="I314" s="880"/>
      <c r="J314" s="191">
        <v>5146</v>
      </c>
      <c r="K314" s="366" t="s">
        <v>8345</v>
      </c>
      <c r="L314" s="938">
        <v>1542675.77</v>
      </c>
      <c r="M314" s="938">
        <v>5174812.3</v>
      </c>
      <c r="N314" s="275" t="s">
        <v>8346</v>
      </c>
      <c r="O314" s="275" t="s">
        <v>5</v>
      </c>
      <c r="P314" s="275">
        <v>1</v>
      </c>
      <c r="Q314" s="108" t="s">
        <v>10035</v>
      </c>
      <c r="R314" s="366" t="s">
        <v>10001</v>
      </c>
      <c r="S314" s="373" t="s">
        <v>10</v>
      </c>
      <c r="T314" s="855"/>
      <c r="U314" s="3" t="s">
        <v>8547</v>
      </c>
      <c r="V314" s="3" t="s">
        <v>8165</v>
      </c>
      <c r="W314" s="3" t="s">
        <v>37</v>
      </c>
      <c r="X314" s="186">
        <v>44421</v>
      </c>
      <c r="AA314" s="1107"/>
    </row>
    <row r="315" spans="1:27" ht="26.25" x14ac:dyDescent="0.25">
      <c r="A315" s="339"/>
      <c r="B315" s="338"/>
      <c r="C315" s="277"/>
      <c r="D315" s="565"/>
      <c r="E315" s="565"/>
      <c r="F315" s="1005"/>
      <c r="G315" s="277"/>
      <c r="H315" s="277"/>
      <c r="I315" s="880"/>
      <c r="J315" s="191">
        <v>5147</v>
      </c>
      <c r="K315" s="366" t="s">
        <v>8342</v>
      </c>
      <c r="L315" s="938">
        <v>1542675.77</v>
      </c>
      <c r="M315" s="938">
        <v>5174812.3</v>
      </c>
      <c r="N315" s="275" t="s">
        <v>9415</v>
      </c>
      <c r="O315" s="275" t="s">
        <v>61</v>
      </c>
      <c r="P315" s="275" t="s">
        <v>419</v>
      </c>
      <c r="Q315" s="320" t="s">
        <v>10036</v>
      </c>
      <c r="R315" s="366" t="s">
        <v>9314</v>
      </c>
      <c r="S315" s="373" t="s">
        <v>10</v>
      </c>
      <c r="T315" s="855"/>
      <c r="U315" s="3" t="s">
        <v>8550</v>
      </c>
      <c r="V315" s="3" t="s">
        <v>8165</v>
      </c>
      <c r="W315" s="3" t="s">
        <v>37</v>
      </c>
      <c r="X315" s="186">
        <v>44421</v>
      </c>
      <c r="AA315" s="1107"/>
    </row>
    <row r="316" spans="1:27" ht="26.25" x14ac:dyDescent="0.25">
      <c r="A316" s="339"/>
      <c r="B316" s="338"/>
      <c r="C316" s="277"/>
      <c r="D316" s="565"/>
      <c r="E316" s="565"/>
      <c r="F316" s="1005"/>
      <c r="G316" s="277"/>
      <c r="H316" s="277"/>
      <c r="I316" s="880"/>
      <c r="J316" s="191">
        <v>5148</v>
      </c>
      <c r="K316" s="366" t="s">
        <v>8325</v>
      </c>
      <c r="L316" s="938">
        <v>1543082.1</v>
      </c>
      <c r="M316" s="938">
        <v>5173901.87</v>
      </c>
      <c r="N316" s="275" t="s">
        <v>8326</v>
      </c>
      <c r="O316" s="275" t="s">
        <v>5</v>
      </c>
      <c r="P316" s="275">
        <v>1</v>
      </c>
      <c r="Q316" s="108" t="s">
        <v>10037</v>
      </c>
      <c r="R316" s="366" t="s">
        <v>10001</v>
      </c>
      <c r="S316" s="373" t="s">
        <v>10</v>
      </c>
      <c r="T316" s="855" t="s">
        <v>8176</v>
      </c>
      <c r="U316" s="3" t="s">
        <v>8544</v>
      </c>
      <c r="V316" s="3" t="s">
        <v>8165</v>
      </c>
      <c r="W316" s="3" t="s">
        <v>37</v>
      </c>
      <c r="X316" s="186">
        <v>44421</v>
      </c>
      <c r="AA316" s="1107"/>
    </row>
    <row r="317" spans="1:27" ht="26.25" x14ac:dyDescent="0.25">
      <c r="A317" s="339"/>
      <c r="B317" s="338"/>
      <c r="C317" s="277"/>
      <c r="D317" s="565"/>
      <c r="E317" s="565"/>
      <c r="F317" s="1005"/>
      <c r="G317" s="277"/>
      <c r="H317" s="277"/>
      <c r="I317" s="880"/>
      <c r="J317" s="191">
        <v>5149</v>
      </c>
      <c r="K317" s="366" t="s">
        <v>8327</v>
      </c>
      <c r="L317" s="938">
        <v>1543094.75</v>
      </c>
      <c r="M317" s="938">
        <v>5173901.79</v>
      </c>
      <c r="N317" s="275" t="s">
        <v>8328</v>
      </c>
      <c r="O317" s="275" t="s">
        <v>5</v>
      </c>
      <c r="P317" s="275">
        <v>1</v>
      </c>
      <c r="Q317" s="108" t="s">
        <v>10038</v>
      </c>
      <c r="R317" s="366" t="s">
        <v>10001</v>
      </c>
      <c r="S317" s="373" t="s">
        <v>10</v>
      </c>
      <c r="T317" s="855" t="s">
        <v>8329</v>
      </c>
      <c r="U317" s="3" t="s">
        <v>8544</v>
      </c>
      <c r="V317" s="3" t="s">
        <v>8165</v>
      </c>
      <c r="W317" s="3" t="s">
        <v>37</v>
      </c>
      <c r="X317" s="186">
        <v>44421</v>
      </c>
      <c r="AA317" s="1107"/>
    </row>
    <row r="318" spans="1:27" ht="26.25" x14ac:dyDescent="0.25">
      <c r="A318" s="339"/>
      <c r="B318" s="338"/>
      <c r="C318" s="277"/>
      <c r="D318" s="565"/>
      <c r="E318" s="565"/>
      <c r="F318" s="1005"/>
      <c r="G318" s="277"/>
      <c r="H318" s="277"/>
      <c r="I318" s="880"/>
      <c r="J318" s="191">
        <v>5150</v>
      </c>
      <c r="K318" s="366" t="s">
        <v>8333</v>
      </c>
      <c r="L318" s="938">
        <v>1543095.31</v>
      </c>
      <c r="M318" s="938">
        <v>5173901.84</v>
      </c>
      <c r="N318" s="275" t="s">
        <v>8334</v>
      </c>
      <c r="O318" s="275" t="s">
        <v>5</v>
      </c>
      <c r="P318" s="275">
        <v>1</v>
      </c>
      <c r="Q318" s="108" t="s">
        <v>8886</v>
      </c>
      <c r="R318" s="366" t="s">
        <v>10001</v>
      </c>
      <c r="S318" s="373" t="s">
        <v>10</v>
      </c>
      <c r="T318" s="855"/>
      <c r="U318" s="3" t="s">
        <v>8547</v>
      </c>
      <c r="V318" s="3" t="s">
        <v>8165</v>
      </c>
      <c r="W318" s="3" t="s">
        <v>37</v>
      </c>
      <c r="X318" s="186">
        <v>44421</v>
      </c>
      <c r="AA318" s="1107"/>
    </row>
    <row r="319" spans="1:27" ht="39" x14ac:dyDescent="0.25">
      <c r="A319" s="339"/>
      <c r="B319" s="338"/>
      <c r="C319" s="277"/>
      <c r="D319" s="565"/>
      <c r="E319" s="565"/>
      <c r="F319" s="1005"/>
      <c r="G319" s="277"/>
      <c r="H319" s="277"/>
      <c r="I319" s="880"/>
      <c r="J319" s="191">
        <v>5151</v>
      </c>
      <c r="K319" s="366" t="s">
        <v>8332</v>
      </c>
      <c r="L319" s="938">
        <v>1543095.31</v>
      </c>
      <c r="M319" s="938">
        <v>5173901.84</v>
      </c>
      <c r="N319" s="275" t="s">
        <v>9416</v>
      </c>
      <c r="O319" s="275" t="s">
        <v>61</v>
      </c>
      <c r="P319" s="275" t="s">
        <v>419</v>
      </c>
      <c r="Q319" s="320" t="s">
        <v>8530</v>
      </c>
      <c r="R319" s="366" t="s">
        <v>9314</v>
      </c>
      <c r="S319" s="373" t="s">
        <v>10</v>
      </c>
      <c r="T319" s="855"/>
      <c r="U319" s="3" t="s">
        <v>8551</v>
      </c>
      <c r="V319" s="3" t="s">
        <v>8165</v>
      </c>
      <c r="W319" s="3" t="s">
        <v>37</v>
      </c>
      <c r="X319" s="186">
        <v>44421</v>
      </c>
      <c r="AA319" s="1107"/>
    </row>
    <row r="320" spans="1:27" ht="26.25" x14ac:dyDescent="0.25">
      <c r="A320" s="339"/>
      <c r="B320" s="338"/>
      <c r="C320" s="277"/>
      <c r="D320" s="565"/>
      <c r="E320" s="565"/>
      <c r="F320" s="1005"/>
      <c r="G320" s="277"/>
      <c r="H320" s="277"/>
      <c r="I320" s="880"/>
      <c r="J320" s="191">
        <v>5152</v>
      </c>
      <c r="K320" s="366" t="s">
        <v>8330</v>
      </c>
      <c r="L320" s="938">
        <v>1543102.27</v>
      </c>
      <c r="M320" s="938">
        <v>5173901.75</v>
      </c>
      <c r="N320" s="275" t="s">
        <v>1894</v>
      </c>
      <c r="O320" s="275" t="s">
        <v>5</v>
      </c>
      <c r="P320" s="275">
        <v>1</v>
      </c>
      <c r="Q320" s="108" t="s">
        <v>10031</v>
      </c>
      <c r="R320" s="366" t="s">
        <v>10001</v>
      </c>
      <c r="S320" s="373" t="s">
        <v>16</v>
      </c>
      <c r="T320" s="855" t="s">
        <v>8331</v>
      </c>
      <c r="U320" s="3" t="s">
        <v>8544</v>
      </c>
      <c r="V320" s="3" t="s">
        <v>8165</v>
      </c>
      <c r="W320" s="3" t="s">
        <v>37</v>
      </c>
      <c r="X320" s="186">
        <v>44421</v>
      </c>
      <c r="AA320" s="1107"/>
    </row>
    <row r="321" spans="1:27" ht="26.25" x14ac:dyDescent="0.25">
      <c r="A321" s="339"/>
      <c r="B321" s="338"/>
      <c r="C321" s="277"/>
      <c r="D321" s="565"/>
      <c r="E321" s="565"/>
      <c r="F321" s="1005"/>
      <c r="G321" s="277"/>
      <c r="H321" s="277"/>
      <c r="I321" s="880"/>
      <c r="J321" s="191">
        <v>5153</v>
      </c>
      <c r="K321" s="366" t="s">
        <v>8347</v>
      </c>
      <c r="L321" s="938">
        <v>1543378.07</v>
      </c>
      <c r="M321" s="938">
        <v>5174943.76</v>
      </c>
      <c r="N321" s="275" t="s">
        <v>8348</v>
      </c>
      <c r="O321" s="275" t="s">
        <v>5</v>
      </c>
      <c r="P321" s="275">
        <v>1</v>
      </c>
      <c r="Q321" s="108" t="s">
        <v>10027</v>
      </c>
      <c r="R321" s="366" t="s">
        <v>10001</v>
      </c>
      <c r="S321" s="373" t="s">
        <v>10</v>
      </c>
      <c r="T321" s="855" t="s">
        <v>8173</v>
      </c>
      <c r="U321" s="3" t="s">
        <v>8544</v>
      </c>
      <c r="V321" s="3" t="s">
        <v>8165</v>
      </c>
      <c r="W321" s="3" t="s">
        <v>37</v>
      </c>
      <c r="X321" s="186">
        <v>44421</v>
      </c>
      <c r="AA321" s="1107"/>
    </row>
    <row r="322" spans="1:27" ht="39" x14ac:dyDescent="0.25">
      <c r="A322" s="339"/>
      <c r="B322" s="338"/>
      <c r="C322" s="277"/>
      <c r="D322" s="565"/>
      <c r="E322" s="565"/>
      <c r="F322" s="1005"/>
      <c r="G322" s="277"/>
      <c r="H322" s="277"/>
      <c r="I322" s="880"/>
      <c r="J322" s="191">
        <v>5154</v>
      </c>
      <c r="K322" s="366" t="s">
        <v>8351</v>
      </c>
      <c r="L322" s="938">
        <v>1543378.65</v>
      </c>
      <c r="M322" s="938">
        <v>5174943.66</v>
      </c>
      <c r="N322" s="275" t="s">
        <v>9417</v>
      </c>
      <c r="O322" s="275" t="s">
        <v>61</v>
      </c>
      <c r="P322" s="275" t="s">
        <v>419</v>
      </c>
      <c r="Q322" s="320" t="s">
        <v>5821</v>
      </c>
      <c r="R322" s="366" t="s">
        <v>9314</v>
      </c>
      <c r="S322" s="373" t="s">
        <v>10</v>
      </c>
      <c r="T322" s="855"/>
      <c r="U322" s="3" t="s">
        <v>9418</v>
      </c>
      <c r="V322" s="3" t="s">
        <v>8165</v>
      </c>
      <c r="W322" s="3" t="s">
        <v>37</v>
      </c>
      <c r="X322" s="186">
        <v>44421</v>
      </c>
      <c r="AA322" s="1107"/>
    </row>
    <row r="323" spans="1:27" ht="26.25" x14ac:dyDescent="0.25">
      <c r="A323" s="339"/>
      <c r="B323" s="338"/>
      <c r="C323" s="277"/>
      <c r="D323" s="565"/>
      <c r="E323" s="565"/>
      <c r="F323" s="1005"/>
      <c r="G323" s="277"/>
      <c r="H323" s="277"/>
      <c r="I323" s="880"/>
      <c r="J323" s="191">
        <v>5155</v>
      </c>
      <c r="K323" s="366" t="s">
        <v>8349</v>
      </c>
      <c r="L323" s="938">
        <v>1543379.43</v>
      </c>
      <c r="M323" s="938">
        <v>5174943.4800000004</v>
      </c>
      <c r="N323" s="275" t="s">
        <v>8350</v>
      </c>
      <c r="O323" s="275" t="s">
        <v>5</v>
      </c>
      <c r="P323" s="275">
        <v>1</v>
      </c>
      <c r="Q323" s="320" t="s">
        <v>9889</v>
      </c>
      <c r="R323" s="366" t="s">
        <v>9318</v>
      </c>
      <c r="S323" s="373" t="s">
        <v>10</v>
      </c>
      <c r="T323" s="855" t="s">
        <v>4527</v>
      </c>
      <c r="U323" s="3" t="s">
        <v>8544</v>
      </c>
      <c r="V323" s="3" t="s">
        <v>8165</v>
      </c>
      <c r="W323" s="3" t="s">
        <v>37</v>
      </c>
      <c r="X323" s="186">
        <v>44421</v>
      </c>
      <c r="AA323" s="1107"/>
    </row>
    <row r="324" spans="1:27" ht="39" x14ac:dyDescent="0.25">
      <c r="A324" s="339"/>
      <c r="B324" s="338"/>
      <c r="C324" s="277"/>
      <c r="D324" s="565"/>
      <c r="E324" s="565"/>
      <c r="F324" s="1005"/>
      <c r="G324" s="277"/>
      <c r="H324" s="277"/>
      <c r="I324" s="880"/>
      <c r="J324" s="191">
        <v>5156</v>
      </c>
      <c r="K324" s="366">
        <v>78</v>
      </c>
      <c r="L324" s="938">
        <v>1543421.45</v>
      </c>
      <c r="M324" s="938">
        <v>5173899.78</v>
      </c>
      <c r="N324" s="275" t="s">
        <v>9419</v>
      </c>
      <c r="O324" s="275" t="s">
        <v>61</v>
      </c>
      <c r="P324" s="275" t="s">
        <v>419</v>
      </c>
      <c r="Q324" s="320" t="s">
        <v>9890</v>
      </c>
      <c r="R324" s="366" t="s">
        <v>9314</v>
      </c>
      <c r="S324" s="373" t="s">
        <v>10</v>
      </c>
      <c r="T324" s="855" t="s">
        <v>9315</v>
      </c>
      <c r="U324" s="3" t="s">
        <v>9420</v>
      </c>
      <c r="V324" s="3" t="s">
        <v>8165</v>
      </c>
      <c r="W324" s="3" t="s">
        <v>37</v>
      </c>
      <c r="X324" s="186">
        <v>44421</v>
      </c>
      <c r="AA324" s="1107"/>
    </row>
    <row r="325" spans="1:27" ht="39" x14ac:dyDescent="0.25">
      <c r="A325" s="339"/>
      <c r="B325" s="338"/>
      <c r="C325" s="277"/>
      <c r="D325" s="565"/>
      <c r="E325" s="565"/>
      <c r="F325" s="1005"/>
      <c r="G325" s="277"/>
      <c r="H325" s="277"/>
      <c r="I325" s="880"/>
      <c r="J325" s="191">
        <v>5157</v>
      </c>
      <c r="K325" s="366">
        <v>82</v>
      </c>
      <c r="L325" s="938">
        <v>1543622.08</v>
      </c>
      <c r="M325" s="938">
        <v>5174894.34</v>
      </c>
      <c r="N325" s="275" t="s">
        <v>9421</v>
      </c>
      <c r="O325" s="275" t="s">
        <v>61</v>
      </c>
      <c r="P325" s="275" t="s">
        <v>419</v>
      </c>
      <c r="Q325" s="320" t="s">
        <v>5726</v>
      </c>
      <c r="R325" s="366" t="s">
        <v>9314</v>
      </c>
      <c r="S325" s="373" t="s">
        <v>10</v>
      </c>
      <c r="T325" s="855" t="s">
        <v>9315</v>
      </c>
      <c r="U325" s="3" t="s">
        <v>9316</v>
      </c>
      <c r="V325" s="3" t="s">
        <v>8165</v>
      </c>
      <c r="W325" s="3" t="s">
        <v>37</v>
      </c>
      <c r="X325" s="186">
        <v>44421</v>
      </c>
      <c r="AA325" s="1107"/>
    </row>
    <row r="326" spans="1:27" ht="39" x14ac:dyDescent="0.25">
      <c r="A326" s="339"/>
      <c r="B326" s="338"/>
      <c r="C326" s="277"/>
      <c r="D326" s="565"/>
      <c r="E326" s="565"/>
      <c r="F326" s="1005"/>
      <c r="G326" s="277"/>
      <c r="H326" s="277"/>
      <c r="I326" s="880"/>
      <c r="J326" s="191">
        <v>5158</v>
      </c>
      <c r="K326" s="366">
        <v>83</v>
      </c>
      <c r="L326" s="938">
        <v>1543829.58</v>
      </c>
      <c r="M326" s="938">
        <v>5174855.88</v>
      </c>
      <c r="N326" s="275" t="s">
        <v>9422</v>
      </c>
      <c r="O326" s="275" t="s">
        <v>61</v>
      </c>
      <c r="P326" s="275" t="s">
        <v>419</v>
      </c>
      <c r="Q326" s="320" t="s">
        <v>9891</v>
      </c>
      <c r="R326" s="366" t="s">
        <v>9314</v>
      </c>
      <c r="S326" s="373" t="s">
        <v>10</v>
      </c>
      <c r="T326" s="855" t="s">
        <v>9315</v>
      </c>
      <c r="U326" s="3" t="s">
        <v>9316</v>
      </c>
      <c r="V326" s="3" t="s">
        <v>8165</v>
      </c>
      <c r="W326" s="3" t="s">
        <v>37</v>
      </c>
      <c r="X326" s="186">
        <v>44421</v>
      </c>
      <c r="AA326" s="1107"/>
    </row>
    <row r="327" spans="1:27" ht="39" x14ac:dyDescent="0.25">
      <c r="A327" s="339"/>
      <c r="B327" s="338"/>
      <c r="C327" s="277"/>
      <c r="D327" s="565"/>
      <c r="E327" s="565"/>
      <c r="F327" s="1005"/>
      <c r="G327" s="277"/>
      <c r="H327" s="277"/>
      <c r="I327" s="880"/>
      <c r="J327" s="191">
        <v>5159</v>
      </c>
      <c r="K327" s="366">
        <v>84</v>
      </c>
      <c r="L327" s="938">
        <v>1544032.41</v>
      </c>
      <c r="M327" s="938">
        <v>5174831.4400000004</v>
      </c>
      <c r="N327" s="275" t="s">
        <v>9423</v>
      </c>
      <c r="O327" s="275" t="s">
        <v>61</v>
      </c>
      <c r="P327" s="275" t="s">
        <v>419</v>
      </c>
      <c r="Q327" s="320" t="s">
        <v>9892</v>
      </c>
      <c r="R327" s="366" t="s">
        <v>9314</v>
      </c>
      <c r="S327" s="373" t="s">
        <v>10</v>
      </c>
      <c r="T327" s="855" t="s">
        <v>9315</v>
      </c>
      <c r="U327" s="3" t="s">
        <v>9316</v>
      </c>
      <c r="V327" s="3" t="s">
        <v>8165</v>
      </c>
      <c r="W327" s="3" t="s">
        <v>37</v>
      </c>
      <c r="X327" s="186">
        <v>44421</v>
      </c>
      <c r="AA327" s="1107"/>
    </row>
    <row r="328" spans="1:27" ht="39" x14ac:dyDescent="0.25">
      <c r="A328" s="339"/>
      <c r="B328" s="338"/>
      <c r="C328" s="277"/>
      <c r="D328" s="565"/>
      <c r="E328" s="565"/>
      <c r="F328" s="1005"/>
      <c r="G328" s="277"/>
      <c r="H328" s="277"/>
      <c r="I328" s="880"/>
      <c r="J328" s="191">
        <v>5160</v>
      </c>
      <c r="K328" s="366">
        <v>85</v>
      </c>
      <c r="L328" s="938">
        <v>1544112.74</v>
      </c>
      <c r="M328" s="938">
        <v>5174821.6500000004</v>
      </c>
      <c r="N328" s="275" t="s">
        <v>9424</v>
      </c>
      <c r="O328" s="275" t="s">
        <v>61</v>
      </c>
      <c r="P328" s="275" t="s">
        <v>419</v>
      </c>
      <c r="Q328" s="320" t="s">
        <v>9893</v>
      </c>
      <c r="R328" s="366" t="s">
        <v>9314</v>
      </c>
      <c r="S328" s="373" t="s">
        <v>10</v>
      </c>
      <c r="T328" s="855" t="s">
        <v>9425</v>
      </c>
      <c r="U328" s="3" t="s">
        <v>9316</v>
      </c>
      <c r="V328" s="3" t="s">
        <v>8165</v>
      </c>
      <c r="W328" s="3" t="s">
        <v>37</v>
      </c>
      <c r="X328" s="186">
        <v>44421</v>
      </c>
      <c r="AA328" s="1107"/>
    </row>
    <row r="329" spans="1:27" ht="39" x14ac:dyDescent="0.25">
      <c r="A329" s="339"/>
      <c r="B329" s="338"/>
      <c r="C329" s="277"/>
      <c r="D329" s="565"/>
      <c r="E329" s="565"/>
      <c r="F329" s="1005"/>
      <c r="G329" s="277"/>
      <c r="H329" s="277"/>
      <c r="I329" s="880"/>
      <c r="J329" s="191">
        <v>5161</v>
      </c>
      <c r="K329" s="366">
        <v>79</v>
      </c>
      <c r="L329" s="938">
        <v>1544221.66</v>
      </c>
      <c r="M329" s="938">
        <v>5173894.8499999996</v>
      </c>
      <c r="N329" s="275">
        <v>0</v>
      </c>
      <c r="O329" s="275" t="s">
        <v>5</v>
      </c>
      <c r="P329" s="275">
        <v>1</v>
      </c>
      <c r="Q329" s="320">
        <v>0</v>
      </c>
      <c r="R329" s="366" t="s">
        <v>10022</v>
      </c>
      <c r="S329" s="373" t="s">
        <v>10</v>
      </c>
      <c r="T329" s="855" t="s">
        <v>8176</v>
      </c>
      <c r="U329" s="3" t="s">
        <v>8544</v>
      </c>
      <c r="V329" s="3" t="s">
        <v>8165</v>
      </c>
      <c r="W329" s="3" t="s">
        <v>37</v>
      </c>
      <c r="X329" s="186">
        <v>44421</v>
      </c>
      <c r="AA329" s="1107"/>
    </row>
    <row r="330" spans="1:27" ht="39" x14ac:dyDescent="0.25">
      <c r="A330" s="339"/>
      <c r="B330" s="338"/>
      <c r="C330" s="277"/>
      <c r="D330" s="565"/>
      <c r="E330" s="565"/>
      <c r="F330" s="1005"/>
      <c r="G330" s="277"/>
      <c r="H330" s="277"/>
      <c r="I330" s="880"/>
      <c r="J330" s="191">
        <v>5162</v>
      </c>
      <c r="K330" s="366">
        <v>86</v>
      </c>
      <c r="L330" s="938">
        <v>1544303.83</v>
      </c>
      <c r="M330" s="938">
        <v>5174801.33</v>
      </c>
      <c r="N330" s="275" t="s">
        <v>9426</v>
      </c>
      <c r="O330" s="275" t="s">
        <v>61</v>
      </c>
      <c r="P330" s="275" t="s">
        <v>419</v>
      </c>
      <c r="Q330" s="320" t="s">
        <v>1677</v>
      </c>
      <c r="R330" s="366" t="s">
        <v>9314</v>
      </c>
      <c r="S330" s="373" t="s">
        <v>10</v>
      </c>
      <c r="T330" s="855" t="s">
        <v>9315</v>
      </c>
      <c r="U330" s="3" t="s">
        <v>9316</v>
      </c>
      <c r="V330" s="3" t="s">
        <v>8165</v>
      </c>
      <c r="W330" s="3" t="s">
        <v>37</v>
      </c>
      <c r="X330" s="186">
        <v>44421</v>
      </c>
      <c r="AA330" s="1107"/>
    </row>
    <row r="331" spans="1:27" ht="26.25" x14ac:dyDescent="0.25">
      <c r="A331" s="339"/>
      <c r="B331" s="338"/>
      <c r="C331" s="277"/>
      <c r="D331" s="565"/>
      <c r="E331" s="565"/>
      <c r="F331" s="1005"/>
      <c r="G331" s="277"/>
      <c r="H331" s="277"/>
      <c r="I331" s="880"/>
      <c r="J331" s="191">
        <v>5163</v>
      </c>
      <c r="K331" s="366">
        <v>87</v>
      </c>
      <c r="L331" s="938">
        <v>1545213.52</v>
      </c>
      <c r="M331" s="938">
        <v>5174836.26</v>
      </c>
      <c r="N331" s="275" t="s">
        <v>8180</v>
      </c>
      <c r="O331" s="275" t="s">
        <v>5</v>
      </c>
      <c r="P331" s="275">
        <v>1</v>
      </c>
      <c r="Q331" s="320" t="s">
        <v>9894</v>
      </c>
      <c r="R331" s="366" t="s">
        <v>9318</v>
      </c>
      <c r="S331" s="373" t="s">
        <v>16</v>
      </c>
      <c r="T331" s="855" t="s">
        <v>8176</v>
      </c>
      <c r="U331" s="3" t="s">
        <v>8549</v>
      </c>
      <c r="V331" s="3" t="s">
        <v>8165</v>
      </c>
      <c r="W331" s="3" t="s">
        <v>37</v>
      </c>
      <c r="X331" s="186">
        <v>44421</v>
      </c>
      <c r="AA331" s="1107"/>
    </row>
    <row r="332" spans="1:27" ht="26.25" x14ac:dyDescent="0.25">
      <c r="A332" s="339"/>
      <c r="B332" s="338"/>
      <c r="C332" s="277"/>
      <c r="D332" s="565"/>
      <c r="E332" s="565"/>
      <c r="F332" s="1005"/>
      <c r="G332" s="277"/>
      <c r="H332" s="277"/>
      <c r="I332" s="880"/>
      <c r="J332" s="191">
        <v>5164</v>
      </c>
      <c r="K332" s="366" t="s">
        <v>8352</v>
      </c>
      <c r="L332" s="938">
        <v>1545931.71</v>
      </c>
      <c r="M332" s="938">
        <v>5174811.6500000004</v>
      </c>
      <c r="N332" s="275" t="s">
        <v>1448</v>
      </c>
      <c r="O332" s="275" t="s">
        <v>5</v>
      </c>
      <c r="P332" s="275">
        <v>1</v>
      </c>
      <c r="Q332" s="108" t="s">
        <v>1447</v>
      </c>
      <c r="R332" s="366" t="s">
        <v>10001</v>
      </c>
      <c r="S332" s="373" t="s">
        <v>10</v>
      </c>
      <c r="T332" s="855" t="s">
        <v>4131</v>
      </c>
      <c r="U332" s="3" t="s">
        <v>8544</v>
      </c>
      <c r="V332" s="3" t="s">
        <v>8165</v>
      </c>
      <c r="W332" s="3" t="s">
        <v>37</v>
      </c>
      <c r="X332" s="186">
        <v>44421</v>
      </c>
      <c r="AA332" s="1107"/>
    </row>
    <row r="333" spans="1:27" ht="26.25" x14ac:dyDescent="0.25">
      <c r="A333" s="339"/>
      <c r="B333" s="338"/>
      <c r="C333" s="277"/>
      <c r="D333" s="565"/>
      <c r="E333" s="565"/>
      <c r="F333" s="1005"/>
      <c r="G333" s="277"/>
      <c r="H333" s="277"/>
      <c r="I333" s="880"/>
      <c r="J333" s="191">
        <v>5165</v>
      </c>
      <c r="K333" s="366" t="s">
        <v>8355</v>
      </c>
      <c r="L333" s="938">
        <v>1545934.33</v>
      </c>
      <c r="M333" s="938">
        <v>5174811.59</v>
      </c>
      <c r="N333" s="275" t="s">
        <v>1076</v>
      </c>
      <c r="O333" s="275" t="s">
        <v>5</v>
      </c>
      <c r="P333" s="275">
        <v>1</v>
      </c>
      <c r="Q333" s="108" t="s">
        <v>10030</v>
      </c>
      <c r="R333" s="366" t="s">
        <v>10001</v>
      </c>
      <c r="S333" s="373" t="s">
        <v>10</v>
      </c>
      <c r="T333" s="855"/>
      <c r="U333" s="3" t="s">
        <v>8547</v>
      </c>
      <c r="V333" s="3" t="s">
        <v>8165</v>
      </c>
      <c r="W333" s="3" t="s">
        <v>37</v>
      </c>
      <c r="X333" s="186">
        <v>44421</v>
      </c>
      <c r="AA333" s="1107"/>
    </row>
    <row r="334" spans="1:27" ht="26.25" x14ac:dyDescent="0.25">
      <c r="A334" s="339"/>
      <c r="B334" s="338"/>
      <c r="C334" s="277"/>
      <c r="D334" s="565"/>
      <c r="E334" s="565"/>
      <c r="F334" s="1005"/>
      <c r="G334" s="277"/>
      <c r="H334" s="277"/>
      <c r="I334" s="880"/>
      <c r="J334" s="191">
        <v>5166</v>
      </c>
      <c r="K334" s="366" t="s">
        <v>8354</v>
      </c>
      <c r="L334" s="938">
        <v>1545934.33</v>
      </c>
      <c r="M334" s="938">
        <v>5174811.59</v>
      </c>
      <c r="N334" s="275" t="s">
        <v>9427</v>
      </c>
      <c r="O334" s="275" t="s">
        <v>61</v>
      </c>
      <c r="P334" s="275" t="s">
        <v>419</v>
      </c>
      <c r="Q334" s="320" t="s">
        <v>2827</v>
      </c>
      <c r="R334" s="366" t="s">
        <v>9314</v>
      </c>
      <c r="S334" s="373" t="s">
        <v>10</v>
      </c>
      <c r="T334" s="855"/>
      <c r="U334" s="3" t="s">
        <v>8550</v>
      </c>
      <c r="V334" s="3" t="s">
        <v>8165</v>
      </c>
      <c r="W334" s="3" t="s">
        <v>37</v>
      </c>
      <c r="X334" s="186">
        <v>44421</v>
      </c>
      <c r="AA334" s="1107"/>
    </row>
    <row r="335" spans="1:27" ht="26.25" x14ac:dyDescent="0.25">
      <c r="A335" s="339"/>
      <c r="B335" s="338"/>
      <c r="C335" s="277"/>
      <c r="D335" s="565"/>
      <c r="E335" s="565"/>
      <c r="F335" s="1005"/>
      <c r="G335" s="277"/>
      <c r="H335" s="277"/>
      <c r="I335" s="880"/>
      <c r="J335" s="191">
        <v>5167</v>
      </c>
      <c r="K335" s="366" t="s">
        <v>8353</v>
      </c>
      <c r="L335" s="938">
        <v>1545936.47</v>
      </c>
      <c r="M335" s="938">
        <v>5174811.53</v>
      </c>
      <c r="N335" s="275" t="s">
        <v>1367</v>
      </c>
      <c r="O335" s="275" t="s">
        <v>5</v>
      </c>
      <c r="P335" s="275">
        <v>1</v>
      </c>
      <c r="Q335" s="108" t="s">
        <v>10029</v>
      </c>
      <c r="R335" s="366" t="s">
        <v>10001</v>
      </c>
      <c r="S335" s="373" t="s">
        <v>10</v>
      </c>
      <c r="T335" s="855" t="s">
        <v>8365</v>
      </c>
      <c r="U335" s="3" t="s">
        <v>8549</v>
      </c>
      <c r="V335" s="3" t="s">
        <v>8165</v>
      </c>
      <c r="W335" s="3" t="s">
        <v>37</v>
      </c>
      <c r="X335" s="186">
        <v>44421</v>
      </c>
      <c r="AA335" s="1107"/>
    </row>
    <row r="336" spans="1:27" ht="39" x14ac:dyDescent="0.25">
      <c r="A336" s="339"/>
      <c r="B336" s="338"/>
      <c r="C336" s="277"/>
      <c r="D336" s="565"/>
      <c r="E336" s="565"/>
      <c r="F336" s="1005"/>
      <c r="G336" s="277"/>
      <c r="H336" s="277"/>
      <c r="I336" s="880"/>
      <c r="J336" s="191">
        <v>5168</v>
      </c>
      <c r="K336" s="366">
        <v>90</v>
      </c>
      <c r="L336" s="938">
        <v>1546321.03</v>
      </c>
      <c r="M336" s="938">
        <v>5174777.3600000003</v>
      </c>
      <c r="N336" s="275" t="s">
        <v>9428</v>
      </c>
      <c r="O336" s="275" t="s">
        <v>61</v>
      </c>
      <c r="P336" s="275" t="s">
        <v>419</v>
      </c>
      <c r="Q336" s="320" t="s">
        <v>9895</v>
      </c>
      <c r="R336" s="366" t="s">
        <v>9314</v>
      </c>
      <c r="S336" s="373" t="s">
        <v>10</v>
      </c>
      <c r="T336" s="855" t="s">
        <v>9429</v>
      </c>
      <c r="U336" s="3" t="s">
        <v>9316</v>
      </c>
      <c r="V336" s="3" t="s">
        <v>8165</v>
      </c>
      <c r="W336" s="3" t="s">
        <v>37</v>
      </c>
      <c r="X336" s="186">
        <v>44421</v>
      </c>
      <c r="AA336" s="1107"/>
    </row>
    <row r="337" spans="1:27" ht="39" x14ac:dyDescent="0.25">
      <c r="A337" s="339"/>
      <c r="B337" s="338"/>
      <c r="C337" s="277"/>
      <c r="D337" s="565"/>
      <c r="E337" s="565"/>
      <c r="F337" s="1005"/>
      <c r="G337" s="277"/>
      <c r="H337" s="277"/>
      <c r="I337" s="880"/>
      <c r="J337" s="191">
        <v>5169</v>
      </c>
      <c r="K337" s="366">
        <v>89</v>
      </c>
      <c r="L337" s="938">
        <v>1546154.75</v>
      </c>
      <c r="M337" s="938">
        <v>5174792.6399999997</v>
      </c>
      <c r="N337" s="275" t="s">
        <v>9430</v>
      </c>
      <c r="O337" s="275" t="s">
        <v>61</v>
      </c>
      <c r="P337" s="275" t="s">
        <v>419</v>
      </c>
      <c r="Q337" s="320" t="s">
        <v>9896</v>
      </c>
      <c r="R337" s="366" t="s">
        <v>9314</v>
      </c>
      <c r="S337" s="373" t="s">
        <v>10</v>
      </c>
      <c r="T337" s="855" t="s">
        <v>9431</v>
      </c>
      <c r="U337" s="3" t="s">
        <v>9329</v>
      </c>
      <c r="V337" s="3" t="s">
        <v>8165</v>
      </c>
      <c r="W337" s="3" t="s">
        <v>37</v>
      </c>
      <c r="X337" s="186">
        <v>44421</v>
      </c>
      <c r="AA337" s="1107"/>
    </row>
    <row r="338" spans="1:27" ht="39" x14ac:dyDescent="0.25">
      <c r="A338" s="339"/>
      <c r="B338" s="338"/>
      <c r="C338" s="277"/>
      <c r="D338" s="565"/>
      <c r="E338" s="565"/>
      <c r="F338" s="1005"/>
      <c r="G338" s="277"/>
      <c r="H338" s="277"/>
      <c r="I338" s="880"/>
      <c r="J338" s="191">
        <v>5170</v>
      </c>
      <c r="K338" s="366">
        <v>91</v>
      </c>
      <c r="L338" s="938">
        <v>1546364.22</v>
      </c>
      <c r="M338" s="938">
        <v>5174773.3899999997</v>
      </c>
      <c r="N338" s="275" t="s">
        <v>9432</v>
      </c>
      <c r="O338" s="275" t="s">
        <v>61</v>
      </c>
      <c r="P338" s="275" t="s">
        <v>419</v>
      </c>
      <c r="Q338" s="320" t="s">
        <v>1677</v>
      </c>
      <c r="R338" s="366" t="s">
        <v>9314</v>
      </c>
      <c r="S338" s="373" t="s">
        <v>10</v>
      </c>
      <c r="T338" s="855" t="s">
        <v>9429</v>
      </c>
      <c r="U338" s="3" t="s">
        <v>9316</v>
      </c>
      <c r="V338" s="3" t="s">
        <v>8165</v>
      </c>
      <c r="W338" s="3" t="s">
        <v>37</v>
      </c>
      <c r="X338" s="186">
        <v>44421</v>
      </c>
      <c r="AA338" s="1107"/>
    </row>
    <row r="339" spans="1:27" ht="26.25" x14ac:dyDescent="0.25">
      <c r="A339" s="339"/>
      <c r="B339" s="338"/>
      <c r="C339" s="277"/>
      <c r="D339" s="565"/>
      <c r="E339" s="565"/>
      <c r="F339" s="1005"/>
      <c r="G339" s="277"/>
      <c r="H339" s="277"/>
      <c r="I339" s="880"/>
      <c r="J339" s="191">
        <v>5171</v>
      </c>
      <c r="K339" s="366" t="s">
        <v>8356</v>
      </c>
      <c r="L339" s="938">
        <v>1547140.42</v>
      </c>
      <c r="M339" s="938">
        <v>5174848.3</v>
      </c>
      <c r="N339" s="275" t="s">
        <v>8338</v>
      </c>
      <c r="O339" s="275" t="s">
        <v>5</v>
      </c>
      <c r="P339" s="275">
        <v>1</v>
      </c>
      <c r="Q339" s="108" t="s">
        <v>10028</v>
      </c>
      <c r="R339" s="366" t="s">
        <v>10001</v>
      </c>
      <c r="S339" s="373" t="s">
        <v>16</v>
      </c>
      <c r="T339" s="855"/>
      <c r="U339" s="3" t="s">
        <v>8544</v>
      </c>
      <c r="V339" s="3" t="s">
        <v>8165</v>
      </c>
      <c r="W339" s="3" t="s">
        <v>37</v>
      </c>
      <c r="X339" s="186">
        <v>44421</v>
      </c>
      <c r="AA339" s="1107"/>
    </row>
    <row r="340" spans="1:27" ht="26.25" x14ac:dyDescent="0.25">
      <c r="A340" s="339"/>
      <c r="B340" s="338"/>
      <c r="C340" s="277"/>
      <c r="D340" s="565"/>
      <c r="E340" s="565"/>
      <c r="F340" s="1005"/>
      <c r="G340" s="277"/>
      <c r="H340" s="277"/>
      <c r="I340" s="880"/>
      <c r="J340" s="191">
        <v>5172</v>
      </c>
      <c r="K340" s="366" t="s">
        <v>8358</v>
      </c>
      <c r="L340" s="938">
        <v>1547147.22</v>
      </c>
      <c r="M340" s="938">
        <v>5174848.7300000004</v>
      </c>
      <c r="N340" s="275" t="s">
        <v>8178</v>
      </c>
      <c r="O340" s="275" t="s">
        <v>5</v>
      </c>
      <c r="P340" s="275">
        <v>1</v>
      </c>
      <c r="Q340" s="108" t="s">
        <v>10027</v>
      </c>
      <c r="R340" s="366" t="s">
        <v>10001</v>
      </c>
      <c r="S340" s="373" t="s">
        <v>10</v>
      </c>
      <c r="T340" s="855"/>
      <c r="U340" s="3" t="s">
        <v>8547</v>
      </c>
      <c r="V340" s="3" t="s">
        <v>8165</v>
      </c>
      <c r="W340" s="3" t="s">
        <v>37</v>
      </c>
      <c r="X340" s="186">
        <v>44421</v>
      </c>
      <c r="AA340" s="1107"/>
    </row>
    <row r="341" spans="1:27" ht="26.25" x14ac:dyDescent="0.25">
      <c r="A341" s="339"/>
      <c r="B341" s="338"/>
      <c r="C341" s="277"/>
      <c r="D341" s="565"/>
      <c r="E341" s="565"/>
      <c r="F341" s="1005"/>
      <c r="G341" s="277"/>
      <c r="H341" s="277"/>
      <c r="I341" s="880"/>
      <c r="J341" s="191">
        <v>5173</v>
      </c>
      <c r="K341" s="366">
        <v>92</v>
      </c>
      <c r="L341" s="938">
        <v>1547147.22</v>
      </c>
      <c r="M341" s="938">
        <v>5174848.7300000004</v>
      </c>
      <c r="N341" s="275" t="s">
        <v>9433</v>
      </c>
      <c r="O341" s="275" t="s">
        <v>61</v>
      </c>
      <c r="P341" s="275" t="s">
        <v>419</v>
      </c>
      <c r="Q341" s="320" t="s">
        <v>9897</v>
      </c>
      <c r="R341" s="366" t="s">
        <v>9314</v>
      </c>
      <c r="S341" s="373" t="s">
        <v>10</v>
      </c>
      <c r="T341" s="855"/>
      <c r="U341" s="3" t="s">
        <v>8548</v>
      </c>
      <c r="V341" s="3" t="s">
        <v>8165</v>
      </c>
      <c r="W341" s="3" t="s">
        <v>37</v>
      </c>
      <c r="X341" s="186">
        <v>44421</v>
      </c>
      <c r="AA341" s="1107"/>
    </row>
    <row r="342" spans="1:27" ht="26.25" x14ac:dyDescent="0.25">
      <c r="A342" s="339"/>
      <c r="B342" s="338"/>
      <c r="C342" s="277"/>
      <c r="D342" s="565"/>
      <c r="E342" s="565"/>
      <c r="F342" s="1005"/>
      <c r="G342" s="277"/>
      <c r="H342" s="277"/>
      <c r="I342" s="880"/>
      <c r="J342" s="191">
        <v>5174</v>
      </c>
      <c r="K342" s="366" t="s">
        <v>8357</v>
      </c>
      <c r="L342" s="938">
        <v>1547153.08</v>
      </c>
      <c r="M342" s="938">
        <v>5174848.5599999996</v>
      </c>
      <c r="N342" s="275" t="s">
        <v>8181</v>
      </c>
      <c r="O342" s="275" t="s">
        <v>5</v>
      </c>
      <c r="P342" s="275">
        <v>1</v>
      </c>
      <c r="Q342" s="275" t="s">
        <v>10026</v>
      </c>
      <c r="R342" s="366" t="s">
        <v>10001</v>
      </c>
      <c r="S342" s="373" t="s">
        <v>10</v>
      </c>
      <c r="T342" s="855" t="s">
        <v>8329</v>
      </c>
      <c r="U342" s="3" t="s">
        <v>8544</v>
      </c>
      <c r="V342" s="3" t="s">
        <v>8165</v>
      </c>
      <c r="W342" s="3" t="s">
        <v>37</v>
      </c>
      <c r="X342" s="186">
        <v>44421</v>
      </c>
      <c r="AA342" s="1107"/>
    </row>
    <row r="343" spans="1:27" ht="26.25" x14ac:dyDescent="0.25">
      <c r="A343" s="339"/>
      <c r="B343" s="338"/>
      <c r="C343" s="277"/>
      <c r="D343" s="565"/>
      <c r="E343" s="565"/>
      <c r="F343" s="1005"/>
      <c r="G343" s="277"/>
      <c r="H343" s="277"/>
      <c r="I343" s="880"/>
      <c r="J343" s="191">
        <v>5175</v>
      </c>
      <c r="K343" s="366" t="s">
        <v>8359</v>
      </c>
      <c r="L343" s="938">
        <v>1547532.67</v>
      </c>
      <c r="M343" s="938">
        <v>5174865.8899999997</v>
      </c>
      <c r="N343" s="275" t="s">
        <v>8177</v>
      </c>
      <c r="O343" s="275" t="s">
        <v>5</v>
      </c>
      <c r="P343" s="275">
        <v>1</v>
      </c>
      <c r="Q343" s="275" t="s">
        <v>10025</v>
      </c>
      <c r="R343" s="366" t="s">
        <v>10001</v>
      </c>
      <c r="S343" s="373" t="s">
        <v>10</v>
      </c>
      <c r="T343" s="855" t="s">
        <v>4524</v>
      </c>
      <c r="U343" s="3" t="s">
        <v>8544</v>
      </c>
      <c r="V343" s="3" t="s">
        <v>8165</v>
      </c>
      <c r="W343" s="3" t="s">
        <v>37</v>
      </c>
      <c r="X343" s="186">
        <v>44421</v>
      </c>
      <c r="AA343" s="1107"/>
    </row>
    <row r="344" spans="1:27" ht="26.25" x14ac:dyDescent="0.25">
      <c r="A344" s="339"/>
      <c r="B344" s="338"/>
      <c r="C344" s="277"/>
      <c r="D344" s="565"/>
      <c r="E344" s="565"/>
      <c r="F344" s="1005"/>
      <c r="G344" s="277"/>
      <c r="H344" s="277"/>
      <c r="I344" s="880"/>
      <c r="J344" s="191">
        <v>5176</v>
      </c>
      <c r="K344" s="366" t="s">
        <v>8362</v>
      </c>
      <c r="L344" s="938">
        <v>1547536.44</v>
      </c>
      <c r="M344" s="938">
        <v>5174866.04</v>
      </c>
      <c r="N344" s="275" t="s">
        <v>8179</v>
      </c>
      <c r="O344" s="275" t="s">
        <v>5</v>
      </c>
      <c r="P344" s="275">
        <v>1</v>
      </c>
      <c r="Q344" s="275" t="s">
        <v>10024</v>
      </c>
      <c r="R344" s="366" t="s">
        <v>10001</v>
      </c>
      <c r="S344" s="373" t="s">
        <v>10</v>
      </c>
      <c r="T344" s="855"/>
      <c r="U344" s="3" t="s">
        <v>8547</v>
      </c>
      <c r="V344" s="3" t="s">
        <v>8165</v>
      </c>
      <c r="W344" s="3" t="s">
        <v>37</v>
      </c>
      <c r="X344" s="186">
        <v>44421</v>
      </c>
      <c r="AA344" s="1107"/>
    </row>
    <row r="345" spans="1:27" ht="26.25" x14ac:dyDescent="0.25">
      <c r="A345" s="339"/>
      <c r="B345" s="338"/>
      <c r="C345" s="277"/>
      <c r="D345" s="565"/>
      <c r="E345" s="565"/>
      <c r="F345" s="1005"/>
      <c r="G345" s="277"/>
      <c r="H345" s="277"/>
      <c r="I345" s="880"/>
      <c r="J345" s="191">
        <v>5177</v>
      </c>
      <c r="K345" s="366" t="s">
        <v>8361</v>
      </c>
      <c r="L345" s="938">
        <v>1547536.44</v>
      </c>
      <c r="M345" s="938">
        <v>5174866.04</v>
      </c>
      <c r="N345" s="275" t="s">
        <v>9434</v>
      </c>
      <c r="O345" s="275" t="s">
        <v>61</v>
      </c>
      <c r="P345" s="275" t="s">
        <v>419</v>
      </c>
      <c r="Q345" s="320" t="s">
        <v>5726</v>
      </c>
      <c r="R345" s="366" t="s">
        <v>9314</v>
      </c>
      <c r="S345" s="373" t="s">
        <v>10</v>
      </c>
      <c r="T345" s="855"/>
      <c r="U345" s="3" t="s">
        <v>8548</v>
      </c>
      <c r="V345" s="3" t="s">
        <v>8165</v>
      </c>
      <c r="W345" s="3" t="s">
        <v>37</v>
      </c>
      <c r="X345" s="186">
        <v>44421</v>
      </c>
      <c r="AA345" s="1107"/>
    </row>
    <row r="346" spans="1:27" ht="26.25" x14ac:dyDescent="0.25">
      <c r="A346" s="339"/>
      <c r="B346" s="338"/>
      <c r="C346" s="277"/>
      <c r="D346" s="565"/>
      <c r="E346" s="565"/>
      <c r="F346" s="1005"/>
      <c r="G346" s="277"/>
      <c r="H346" s="277"/>
      <c r="I346" s="880"/>
      <c r="J346" s="191">
        <v>5178</v>
      </c>
      <c r="K346" s="366" t="s">
        <v>8360</v>
      </c>
      <c r="L346" s="938">
        <v>1547540.96</v>
      </c>
      <c r="M346" s="938">
        <v>5174866.24</v>
      </c>
      <c r="N346" s="275" t="s">
        <v>8183</v>
      </c>
      <c r="O346" s="275" t="s">
        <v>5</v>
      </c>
      <c r="P346" s="275">
        <v>1</v>
      </c>
      <c r="Q346" s="275" t="s">
        <v>10023</v>
      </c>
      <c r="R346" s="366" t="s">
        <v>10001</v>
      </c>
      <c r="S346" s="373" t="s">
        <v>10</v>
      </c>
      <c r="T346" s="855" t="s">
        <v>8331</v>
      </c>
      <c r="U346" s="3" t="s">
        <v>8544</v>
      </c>
      <c r="V346" s="3" t="s">
        <v>8165</v>
      </c>
      <c r="W346" s="3" t="s">
        <v>37</v>
      </c>
      <c r="X346" s="186">
        <v>44421</v>
      </c>
      <c r="AA346" s="1107"/>
    </row>
    <row r="347" spans="1:27" ht="26.25" x14ac:dyDescent="0.25">
      <c r="A347" s="339"/>
      <c r="B347" s="338"/>
      <c r="C347" s="277"/>
      <c r="D347" s="565"/>
      <c r="E347" s="565"/>
      <c r="F347" s="1005"/>
      <c r="G347" s="277"/>
      <c r="H347" s="277"/>
      <c r="I347" s="880"/>
      <c r="J347" s="191">
        <v>5179</v>
      </c>
      <c r="K347" s="366">
        <v>94</v>
      </c>
      <c r="L347" s="938">
        <v>1548346.1</v>
      </c>
      <c r="M347" s="938">
        <v>5174937.66</v>
      </c>
      <c r="N347" s="275" t="s">
        <v>9435</v>
      </c>
      <c r="O347" s="275" t="s">
        <v>61</v>
      </c>
      <c r="P347" s="275" t="s">
        <v>419</v>
      </c>
      <c r="Q347" s="320" t="s">
        <v>9898</v>
      </c>
      <c r="R347" s="366" t="s">
        <v>9314</v>
      </c>
      <c r="S347" s="373" t="s">
        <v>10</v>
      </c>
      <c r="T347" s="855" t="s">
        <v>9436</v>
      </c>
      <c r="U347" s="3" t="s">
        <v>8547</v>
      </c>
      <c r="V347" s="3" t="s">
        <v>8165</v>
      </c>
      <c r="W347" s="3" t="s">
        <v>37</v>
      </c>
      <c r="X347" s="186">
        <v>44421</v>
      </c>
      <c r="AA347" s="1107"/>
    </row>
    <row r="348" spans="1:27" ht="26.25" x14ac:dyDescent="0.25">
      <c r="A348" s="339"/>
      <c r="B348" s="338"/>
      <c r="C348" s="277"/>
      <c r="D348" s="565"/>
      <c r="E348" s="565"/>
      <c r="F348" s="1005"/>
      <c r="G348" s="277"/>
      <c r="H348" s="277"/>
      <c r="I348" s="880"/>
      <c r="J348" s="191">
        <v>5180</v>
      </c>
      <c r="K348" s="366">
        <v>95</v>
      </c>
      <c r="L348" s="938">
        <v>1549479.2</v>
      </c>
      <c r="M348" s="938">
        <v>5175260.7300000004</v>
      </c>
      <c r="N348" s="275" t="s">
        <v>8185</v>
      </c>
      <c r="O348" s="275" t="s">
        <v>5</v>
      </c>
      <c r="P348" s="275">
        <v>1</v>
      </c>
      <c r="Q348" s="320" t="s">
        <v>9899</v>
      </c>
      <c r="R348" s="366" t="s">
        <v>10012</v>
      </c>
      <c r="S348" s="373" t="s">
        <v>10</v>
      </c>
      <c r="T348" s="855" t="s">
        <v>8184</v>
      </c>
      <c r="U348" s="3" t="s">
        <v>8547</v>
      </c>
      <c r="V348" s="3" t="s">
        <v>8165</v>
      </c>
      <c r="W348" s="3" t="s">
        <v>37</v>
      </c>
      <c r="X348" s="186">
        <v>44421</v>
      </c>
      <c r="AA348" s="1107"/>
    </row>
    <row r="349" spans="1:27" ht="39" x14ac:dyDescent="0.25">
      <c r="A349" s="339"/>
      <c r="B349" s="338"/>
      <c r="C349" s="277"/>
      <c r="D349" s="565"/>
      <c r="E349" s="565"/>
      <c r="F349" s="1005"/>
      <c r="G349" s="277"/>
      <c r="H349" s="277"/>
      <c r="I349" s="880"/>
      <c r="J349" s="191">
        <v>5181</v>
      </c>
      <c r="K349" s="366">
        <v>96</v>
      </c>
      <c r="L349" s="938">
        <v>1549712.42</v>
      </c>
      <c r="M349" s="938">
        <v>5175269.82</v>
      </c>
      <c r="N349" s="275" t="s">
        <v>9412</v>
      </c>
      <c r="O349" s="275" t="s">
        <v>61</v>
      </c>
      <c r="P349" s="275" t="s">
        <v>419</v>
      </c>
      <c r="Q349" s="320">
        <v>0</v>
      </c>
      <c r="R349" s="366" t="s">
        <v>10022</v>
      </c>
      <c r="S349" s="373" t="s">
        <v>10</v>
      </c>
      <c r="T349" s="855" t="s">
        <v>9437</v>
      </c>
      <c r="U349" s="3" t="s">
        <v>9414</v>
      </c>
      <c r="V349" s="3" t="s">
        <v>8165</v>
      </c>
      <c r="W349" s="3" t="s">
        <v>37</v>
      </c>
      <c r="X349" s="186">
        <v>44421</v>
      </c>
      <c r="AA349" s="1107"/>
    </row>
    <row r="350" spans="1:27" ht="26.25" x14ac:dyDescent="0.25">
      <c r="A350" s="339"/>
      <c r="B350" s="338"/>
      <c r="C350" s="277"/>
      <c r="D350" s="565"/>
      <c r="E350" s="565"/>
      <c r="F350" s="1005"/>
      <c r="G350" s="277"/>
      <c r="H350" s="277"/>
      <c r="I350" s="880"/>
      <c r="J350" s="191">
        <v>5184</v>
      </c>
      <c r="K350" s="366">
        <v>9</v>
      </c>
      <c r="L350" s="938">
        <v>1522846.32</v>
      </c>
      <c r="M350" s="938">
        <v>5173672.45</v>
      </c>
      <c r="N350" s="275" t="s">
        <v>8371</v>
      </c>
      <c r="O350" s="275" t="s">
        <v>194</v>
      </c>
      <c r="P350" s="275">
        <v>1</v>
      </c>
      <c r="Q350" s="108" t="s">
        <v>10005</v>
      </c>
      <c r="R350" s="366" t="s">
        <v>10002</v>
      </c>
      <c r="S350" s="373" t="s">
        <v>10</v>
      </c>
      <c r="T350" s="855" t="s">
        <v>8390</v>
      </c>
      <c r="U350" s="3" t="s">
        <v>8546</v>
      </c>
      <c r="V350" s="3" t="s">
        <v>8165</v>
      </c>
      <c r="W350" s="3" t="s">
        <v>37</v>
      </c>
      <c r="X350" s="186">
        <v>44421</v>
      </c>
      <c r="AA350" s="1107"/>
    </row>
    <row r="351" spans="1:27" ht="26.25" x14ac:dyDescent="0.25">
      <c r="A351" s="339"/>
      <c r="B351" s="338"/>
      <c r="C351" s="277"/>
      <c r="D351" s="565"/>
      <c r="E351" s="565"/>
      <c r="F351" s="1005"/>
      <c r="G351" s="277"/>
      <c r="H351" s="277"/>
      <c r="I351" s="880"/>
      <c r="J351" s="191">
        <v>5186</v>
      </c>
      <c r="K351" s="366">
        <v>116</v>
      </c>
      <c r="L351" s="938">
        <v>1524769.4068499999</v>
      </c>
      <c r="M351" s="938">
        <v>5172825.7809100002</v>
      </c>
      <c r="N351" s="275" t="s">
        <v>8372</v>
      </c>
      <c r="O351" s="275" t="s">
        <v>194</v>
      </c>
      <c r="P351" s="275">
        <v>1</v>
      </c>
      <c r="Q351" s="108" t="s">
        <v>10006</v>
      </c>
      <c r="R351" s="366" t="s">
        <v>10002</v>
      </c>
      <c r="S351" s="373" t="s">
        <v>10</v>
      </c>
      <c r="T351" s="855" t="s">
        <v>8390</v>
      </c>
      <c r="U351" s="3" t="s">
        <v>8546</v>
      </c>
      <c r="V351" s="3" t="s">
        <v>8165</v>
      </c>
      <c r="W351" s="3" t="s">
        <v>37</v>
      </c>
      <c r="X351" s="186">
        <v>44421</v>
      </c>
      <c r="AA351" s="1107"/>
    </row>
    <row r="352" spans="1:27" ht="26.25" x14ac:dyDescent="0.25">
      <c r="A352" s="339"/>
      <c r="B352" s="338"/>
      <c r="C352" s="277"/>
      <c r="D352" s="565"/>
      <c r="E352" s="565"/>
      <c r="F352" s="1005"/>
      <c r="G352" s="277"/>
      <c r="H352" s="277"/>
      <c r="I352" s="880"/>
      <c r="J352" s="191">
        <v>5189</v>
      </c>
      <c r="K352" s="366">
        <v>111</v>
      </c>
      <c r="L352" s="938">
        <v>1528319.9138199999</v>
      </c>
      <c r="M352" s="938">
        <v>5172579.5071900003</v>
      </c>
      <c r="N352" s="275" t="s">
        <v>8373</v>
      </c>
      <c r="O352" s="275" t="s">
        <v>194</v>
      </c>
      <c r="P352" s="275">
        <v>1</v>
      </c>
      <c r="Q352" s="108" t="s">
        <v>10007</v>
      </c>
      <c r="R352" s="366" t="s">
        <v>10002</v>
      </c>
      <c r="S352" s="373" t="s">
        <v>10</v>
      </c>
      <c r="T352" s="855" t="s">
        <v>8390</v>
      </c>
      <c r="U352" s="3" t="s">
        <v>8546</v>
      </c>
      <c r="V352" s="3" t="s">
        <v>8165</v>
      </c>
      <c r="W352" s="3" t="s">
        <v>37</v>
      </c>
      <c r="X352" s="186">
        <v>44421</v>
      </c>
      <c r="AA352" s="1107"/>
    </row>
    <row r="353" spans="1:27" ht="26.25" x14ac:dyDescent="0.25">
      <c r="A353" s="339"/>
      <c r="B353" s="338"/>
      <c r="C353" s="277"/>
      <c r="D353" s="565"/>
      <c r="E353" s="565"/>
      <c r="F353" s="1005"/>
      <c r="G353" s="277"/>
      <c r="H353" s="277"/>
      <c r="I353" s="880"/>
      <c r="J353" s="191">
        <v>5193</v>
      </c>
      <c r="K353" s="366">
        <v>117</v>
      </c>
      <c r="L353" s="938">
        <v>1523758.0763399999</v>
      </c>
      <c r="M353" s="938">
        <v>5173323.6645499999</v>
      </c>
      <c r="N353" s="275" t="s">
        <v>8374</v>
      </c>
      <c r="O353" s="275" t="s">
        <v>194</v>
      </c>
      <c r="P353" s="275">
        <v>1</v>
      </c>
      <c r="Q353" s="108" t="s">
        <v>10008</v>
      </c>
      <c r="R353" s="366" t="s">
        <v>10012</v>
      </c>
      <c r="S353" s="373" t="s">
        <v>10</v>
      </c>
      <c r="T353" s="855" t="s">
        <v>8390</v>
      </c>
      <c r="U353" s="3" t="s">
        <v>8546</v>
      </c>
      <c r="V353" s="3" t="s">
        <v>8165</v>
      </c>
      <c r="W353" s="3" t="s">
        <v>37</v>
      </c>
      <c r="X353" s="186">
        <v>44421</v>
      </c>
      <c r="AA353" s="1107"/>
    </row>
    <row r="354" spans="1:27" ht="26.25" x14ac:dyDescent="0.25">
      <c r="A354" s="339"/>
      <c r="B354" s="338"/>
      <c r="C354" s="277"/>
      <c r="D354" s="565"/>
      <c r="E354" s="565"/>
      <c r="F354" s="1005"/>
      <c r="G354" s="277"/>
      <c r="H354" s="277"/>
      <c r="I354" s="880"/>
      <c r="J354" s="191">
        <v>5195</v>
      </c>
      <c r="K354" s="366">
        <v>113</v>
      </c>
      <c r="L354" s="938">
        <v>1526777.05238</v>
      </c>
      <c r="M354" s="938">
        <v>5172729.6455199998</v>
      </c>
      <c r="N354" s="275" t="s">
        <v>8374</v>
      </c>
      <c r="O354" s="275" t="s">
        <v>194</v>
      </c>
      <c r="P354" s="275">
        <v>1</v>
      </c>
      <c r="Q354" s="108" t="s">
        <v>10009</v>
      </c>
      <c r="R354" s="366" t="s">
        <v>10002</v>
      </c>
      <c r="S354" s="373" t="s">
        <v>16</v>
      </c>
      <c r="T354" s="855" t="s">
        <v>8390</v>
      </c>
      <c r="U354" s="3" t="s">
        <v>8546</v>
      </c>
      <c r="V354" s="3" t="s">
        <v>8165</v>
      </c>
      <c r="W354" s="3" t="s">
        <v>37</v>
      </c>
      <c r="X354" s="186">
        <v>44421</v>
      </c>
      <c r="AA354" s="1107"/>
    </row>
    <row r="355" spans="1:27" ht="26.25" x14ac:dyDescent="0.25">
      <c r="A355" s="339"/>
      <c r="B355" s="338"/>
      <c r="C355" s="277"/>
      <c r="D355" s="565"/>
      <c r="E355" s="565"/>
      <c r="F355" s="1005"/>
      <c r="G355" s="277"/>
      <c r="H355" s="277"/>
      <c r="I355" s="880"/>
      <c r="J355" s="191">
        <v>5197</v>
      </c>
      <c r="K355" s="366">
        <v>120</v>
      </c>
      <c r="L355" s="938">
        <v>1522610.06299</v>
      </c>
      <c r="M355" s="938">
        <v>5173993.67289</v>
      </c>
      <c r="N355" s="275" t="s">
        <v>1187</v>
      </c>
      <c r="O355" s="275" t="s">
        <v>194</v>
      </c>
      <c r="P355" s="275">
        <v>1</v>
      </c>
      <c r="Q355" s="108" t="s">
        <v>10010</v>
      </c>
      <c r="R355" s="366" t="s">
        <v>10012</v>
      </c>
      <c r="S355" s="373" t="s">
        <v>10</v>
      </c>
      <c r="T355" s="855" t="s">
        <v>8390</v>
      </c>
      <c r="U355" s="3" t="s">
        <v>8546</v>
      </c>
      <c r="V355" s="3" t="s">
        <v>8165</v>
      </c>
      <c r="W355" s="3" t="s">
        <v>37</v>
      </c>
      <c r="X355" s="186">
        <v>44421</v>
      </c>
      <c r="AA355" s="1107"/>
    </row>
    <row r="356" spans="1:27" ht="26.25" x14ac:dyDescent="0.25">
      <c r="A356" s="339"/>
      <c r="B356" s="338"/>
      <c r="C356" s="277"/>
      <c r="D356" s="565"/>
      <c r="E356" s="565"/>
      <c r="F356" s="1005"/>
      <c r="G356" s="277"/>
      <c r="H356" s="277"/>
      <c r="I356" s="880"/>
      <c r="J356" s="191">
        <v>5198</v>
      </c>
      <c r="K356" s="366">
        <v>119</v>
      </c>
      <c r="L356" s="938">
        <v>1522733.32378</v>
      </c>
      <c r="M356" s="938">
        <v>5173791.4332400002</v>
      </c>
      <c r="N356" s="275" t="s">
        <v>8375</v>
      </c>
      <c r="O356" s="275" t="s">
        <v>194</v>
      </c>
      <c r="P356" s="275">
        <v>1</v>
      </c>
      <c r="Q356" s="108" t="s">
        <v>10011</v>
      </c>
      <c r="R356" s="366" t="s">
        <v>10012</v>
      </c>
      <c r="S356" s="373" t="s">
        <v>10</v>
      </c>
      <c r="T356" s="855" t="s">
        <v>8390</v>
      </c>
      <c r="U356" s="3" t="s">
        <v>8546</v>
      </c>
      <c r="V356" s="3" t="s">
        <v>8165</v>
      </c>
      <c r="W356" s="3" t="s">
        <v>37</v>
      </c>
      <c r="X356" s="186">
        <v>44421</v>
      </c>
      <c r="AA356" s="1107"/>
    </row>
    <row r="357" spans="1:27" ht="26.25" x14ac:dyDescent="0.25">
      <c r="A357" s="339"/>
      <c r="B357" s="338"/>
      <c r="C357" s="277"/>
      <c r="D357" s="565"/>
      <c r="E357" s="565"/>
      <c r="F357" s="1005"/>
      <c r="G357" s="277"/>
      <c r="H357" s="277"/>
      <c r="I357" s="880"/>
      <c r="J357" s="191">
        <v>5199</v>
      </c>
      <c r="K357" s="366">
        <v>118</v>
      </c>
      <c r="L357" s="938">
        <v>1523061.0382399999</v>
      </c>
      <c r="M357" s="938">
        <v>5173529.7181700002</v>
      </c>
      <c r="N357" s="275" t="s">
        <v>8376</v>
      </c>
      <c r="O357" s="275" t="s">
        <v>194</v>
      </c>
      <c r="P357" s="275">
        <v>1</v>
      </c>
      <c r="Q357" s="108" t="s">
        <v>10021</v>
      </c>
      <c r="R357" s="366" t="s">
        <v>10012</v>
      </c>
      <c r="S357" s="373" t="s">
        <v>16</v>
      </c>
      <c r="T357" s="855" t="s">
        <v>8390</v>
      </c>
      <c r="U357" s="3" t="s">
        <v>8546</v>
      </c>
      <c r="V357" s="3" t="s">
        <v>8165</v>
      </c>
      <c r="W357" s="3" t="s">
        <v>37</v>
      </c>
      <c r="X357" s="186">
        <v>44421</v>
      </c>
      <c r="AA357" s="1107"/>
    </row>
    <row r="358" spans="1:27" ht="26.25" x14ac:dyDescent="0.25">
      <c r="A358" s="339"/>
      <c r="B358" s="338"/>
      <c r="C358" s="277"/>
      <c r="D358" s="565"/>
      <c r="E358" s="565"/>
      <c r="F358" s="1005"/>
      <c r="G358" s="277"/>
      <c r="H358" s="277"/>
      <c r="I358" s="880"/>
      <c r="J358" s="191">
        <v>5202</v>
      </c>
      <c r="K358" s="366">
        <v>115</v>
      </c>
      <c r="L358" s="938">
        <v>1524874.48915</v>
      </c>
      <c r="M358" s="938">
        <v>5172753.6464999998</v>
      </c>
      <c r="N358" s="275" t="s">
        <v>2717</v>
      </c>
      <c r="O358" s="275" t="s">
        <v>194</v>
      </c>
      <c r="P358" s="275">
        <v>1</v>
      </c>
      <c r="Q358" s="108" t="s">
        <v>10020</v>
      </c>
      <c r="R358" s="366" t="s">
        <v>10012</v>
      </c>
      <c r="S358" s="373" t="s">
        <v>10</v>
      </c>
      <c r="T358" s="855" t="s">
        <v>8390</v>
      </c>
      <c r="U358" s="3" t="s">
        <v>8546</v>
      </c>
      <c r="V358" s="3" t="s">
        <v>8165</v>
      </c>
      <c r="W358" s="3" t="s">
        <v>37</v>
      </c>
      <c r="X358" s="186">
        <v>44421</v>
      </c>
      <c r="AA358" s="1107"/>
    </row>
    <row r="359" spans="1:27" ht="26.25" x14ac:dyDescent="0.25">
      <c r="A359" s="339"/>
      <c r="B359" s="338"/>
      <c r="C359" s="277"/>
      <c r="D359" s="565"/>
      <c r="E359" s="565"/>
      <c r="F359" s="1005"/>
      <c r="G359" s="277"/>
      <c r="H359" s="277"/>
      <c r="I359" s="880"/>
      <c r="J359" s="191">
        <v>5203</v>
      </c>
      <c r="K359" s="366">
        <v>114</v>
      </c>
      <c r="L359" s="938">
        <v>1524958.12665</v>
      </c>
      <c r="M359" s="938">
        <v>5172696.67289</v>
      </c>
      <c r="N359" s="275" t="s">
        <v>8344</v>
      </c>
      <c r="O359" s="275" t="s">
        <v>194</v>
      </c>
      <c r="P359" s="275">
        <v>1</v>
      </c>
      <c r="Q359" s="108" t="s">
        <v>10019</v>
      </c>
      <c r="R359" s="366" t="s">
        <v>10012</v>
      </c>
      <c r="S359" s="373" t="s">
        <v>16</v>
      </c>
      <c r="T359" s="855" t="s">
        <v>8390</v>
      </c>
      <c r="U359" s="3" t="s">
        <v>8546</v>
      </c>
      <c r="V359" s="3" t="s">
        <v>8165</v>
      </c>
      <c r="W359" s="3" t="s">
        <v>37</v>
      </c>
      <c r="X359" s="186">
        <v>44421</v>
      </c>
      <c r="AA359" s="1107"/>
    </row>
    <row r="360" spans="1:27" ht="26.25" x14ac:dyDescent="0.25">
      <c r="A360" s="339"/>
      <c r="B360" s="338"/>
      <c r="C360" s="277"/>
      <c r="D360" s="565"/>
      <c r="E360" s="565"/>
      <c r="F360" s="1005"/>
      <c r="G360" s="277"/>
      <c r="H360" s="277"/>
      <c r="I360" s="880"/>
      <c r="J360" s="191">
        <v>5206</v>
      </c>
      <c r="K360" s="366">
        <v>112</v>
      </c>
      <c r="L360" s="938">
        <v>1527802.6286200001</v>
      </c>
      <c r="M360" s="938">
        <v>5172578.5980799999</v>
      </c>
      <c r="N360" s="275" t="s">
        <v>8378</v>
      </c>
      <c r="O360" s="275" t="s">
        <v>194</v>
      </c>
      <c r="P360" s="275">
        <v>1</v>
      </c>
      <c r="Q360" s="108" t="s">
        <v>10018</v>
      </c>
      <c r="R360" s="366" t="s">
        <v>10012</v>
      </c>
      <c r="S360" s="373" t="s">
        <v>10</v>
      </c>
      <c r="T360" s="855" t="s">
        <v>8390</v>
      </c>
      <c r="U360" s="3" t="s">
        <v>8546</v>
      </c>
      <c r="V360" s="3" t="s">
        <v>8165</v>
      </c>
      <c r="W360" s="3" t="s">
        <v>37</v>
      </c>
      <c r="X360" s="186">
        <v>44421</v>
      </c>
      <c r="AA360" s="1107"/>
    </row>
    <row r="361" spans="1:27" ht="26.25" x14ac:dyDescent="0.25">
      <c r="A361" s="339"/>
      <c r="B361" s="338"/>
      <c r="C361" s="277"/>
      <c r="D361" s="565"/>
      <c r="E361" s="565"/>
      <c r="F361" s="1005"/>
      <c r="G361" s="277"/>
      <c r="H361" s="277"/>
      <c r="I361" s="880"/>
      <c r="J361" s="191">
        <v>5208</v>
      </c>
      <c r="K361" s="366">
        <v>110</v>
      </c>
      <c r="L361" s="938">
        <v>1529246.29981</v>
      </c>
      <c r="M361" s="938">
        <v>5172584.0527499998</v>
      </c>
      <c r="N361" s="275" t="s">
        <v>8379</v>
      </c>
      <c r="O361" s="275" t="s">
        <v>194</v>
      </c>
      <c r="P361" s="275">
        <v>1</v>
      </c>
      <c r="Q361" s="108" t="s">
        <v>10017</v>
      </c>
      <c r="R361" s="366" t="s">
        <v>10012</v>
      </c>
      <c r="S361" s="373" t="s">
        <v>10</v>
      </c>
      <c r="T361" s="855" t="s">
        <v>8390</v>
      </c>
      <c r="U361" s="3" t="s">
        <v>8546</v>
      </c>
      <c r="V361" s="3" t="s">
        <v>8165</v>
      </c>
      <c r="W361" s="3" t="s">
        <v>37</v>
      </c>
      <c r="X361" s="186">
        <v>44421</v>
      </c>
      <c r="AA361" s="1107"/>
    </row>
    <row r="362" spans="1:27" ht="26.25" x14ac:dyDescent="0.25">
      <c r="A362" s="339"/>
      <c r="B362" s="338"/>
      <c r="C362" s="277"/>
      <c r="D362" s="565"/>
      <c r="E362" s="565"/>
      <c r="F362" s="1005"/>
      <c r="G362" s="277"/>
      <c r="H362" s="277"/>
      <c r="I362" s="880"/>
      <c r="J362" s="191">
        <v>5211</v>
      </c>
      <c r="K362" s="366">
        <v>108</v>
      </c>
      <c r="L362" s="938">
        <v>1530374.5088500001</v>
      </c>
      <c r="M362" s="938">
        <v>5172689.5098400004</v>
      </c>
      <c r="N362" s="275" t="s">
        <v>8185</v>
      </c>
      <c r="O362" s="275" t="s">
        <v>194</v>
      </c>
      <c r="P362" s="275">
        <v>1</v>
      </c>
      <c r="Q362" s="108" t="s">
        <v>9899</v>
      </c>
      <c r="R362" s="366" t="s">
        <v>10012</v>
      </c>
      <c r="S362" s="373" t="s">
        <v>10</v>
      </c>
      <c r="T362" s="855" t="s">
        <v>8390</v>
      </c>
      <c r="U362" s="3" t="s">
        <v>8546</v>
      </c>
      <c r="V362" s="3" t="s">
        <v>8165</v>
      </c>
      <c r="W362" s="3" t="s">
        <v>37</v>
      </c>
      <c r="X362" s="186">
        <v>44421</v>
      </c>
      <c r="AA362" s="1107"/>
    </row>
    <row r="363" spans="1:27" ht="26.25" x14ac:dyDescent="0.25">
      <c r="A363" s="339"/>
      <c r="B363" s="338"/>
      <c r="C363" s="277"/>
      <c r="D363" s="565"/>
      <c r="E363" s="565"/>
      <c r="F363" s="1005"/>
      <c r="G363" s="277"/>
      <c r="H363" s="277"/>
      <c r="I363" s="880"/>
      <c r="J363" s="191">
        <v>5212</v>
      </c>
      <c r="K363" s="366">
        <v>107</v>
      </c>
      <c r="L363" s="938">
        <v>1530546.33118</v>
      </c>
      <c r="M363" s="938">
        <v>5172711.3285499997</v>
      </c>
      <c r="N363" s="275" t="s">
        <v>8380</v>
      </c>
      <c r="O363" s="275" t="s">
        <v>194</v>
      </c>
      <c r="P363" s="275">
        <v>1</v>
      </c>
      <c r="Q363" s="108" t="s">
        <v>10013</v>
      </c>
      <c r="R363" s="366" t="s">
        <v>10012</v>
      </c>
      <c r="S363" s="373" t="s">
        <v>10</v>
      </c>
      <c r="T363" s="855" t="s">
        <v>8390</v>
      </c>
      <c r="U363" s="3" t="s">
        <v>8546</v>
      </c>
      <c r="V363" s="3" t="s">
        <v>8165</v>
      </c>
      <c r="W363" s="3" t="s">
        <v>37</v>
      </c>
      <c r="X363" s="186">
        <v>44421</v>
      </c>
      <c r="AA363" s="1107"/>
    </row>
    <row r="364" spans="1:27" ht="26.25" x14ac:dyDescent="0.25">
      <c r="A364" s="339"/>
      <c r="B364" s="338"/>
      <c r="C364" s="277"/>
      <c r="D364" s="565"/>
      <c r="E364" s="565"/>
      <c r="F364" s="1005"/>
      <c r="G364" s="277"/>
      <c r="H364" s="277"/>
      <c r="I364" s="880"/>
      <c r="J364" s="191">
        <v>5213</v>
      </c>
      <c r="K364" s="366">
        <v>106</v>
      </c>
      <c r="L364" s="938">
        <v>1530689.06189</v>
      </c>
      <c r="M364" s="938">
        <v>5172754.9659700003</v>
      </c>
      <c r="N364" s="275" t="s">
        <v>8185</v>
      </c>
      <c r="O364" s="275" t="s">
        <v>194</v>
      </c>
      <c r="P364" s="275">
        <v>1</v>
      </c>
      <c r="Q364" s="108" t="s">
        <v>9899</v>
      </c>
      <c r="R364" s="366" t="s">
        <v>10012</v>
      </c>
      <c r="S364" s="373" t="s">
        <v>10</v>
      </c>
      <c r="T364" s="855" t="s">
        <v>8390</v>
      </c>
      <c r="U364" s="3" t="s">
        <v>8546</v>
      </c>
      <c r="V364" s="3" t="s">
        <v>8165</v>
      </c>
      <c r="W364" s="3" t="s">
        <v>37</v>
      </c>
      <c r="X364" s="186">
        <v>44421</v>
      </c>
      <c r="AA364" s="1107"/>
    </row>
    <row r="365" spans="1:27" ht="26.25" x14ac:dyDescent="0.25">
      <c r="A365" s="339"/>
      <c r="B365" s="338"/>
      <c r="C365" s="277"/>
      <c r="D365" s="565"/>
      <c r="E365" s="565"/>
      <c r="F365" s="1005"/>
      <c r="G365" s="277"/>
      <c r="H365" s="277"/>
      <c r="I365" s="880"/>
      <c r="J365" s="191">
        <v>5216</v>
      </c>
      <c r="K365" s="366">
        <v>105</v>
      </c>
      <c r="L365" s="938">
        <v>1531492.9930400001</v>
      </c>
      <c r="M365" s="938">
        <v>5172861.2639300004</v>
      </c>
      <c r="N365" s="275" t="s">
        <v>8381</v>
      </c>
      <c r="O365" s="275" t="s">
        <v>194</v>
      </c>
      <c r="P365" s="275">
        <v>1</v>
      </c>
      <c r="Q365" s="108" t="s">
        <v>10016</v>
      </c>
      <c r="R365" s="366" t="s">
        <v>10012</v>
      </c>
      <c r="S365" s="373" t="s">
        <v>10</v>
      </c>
      <c r="T365" s="855" t="s">
        <v>8390</v>
      </c>
      <c r="U365" s="3" t="s">
        <v>8546</v>
      </c>
      <c r="V365" s="3" t="s">
        <v>8165</v>
      </c>
      <c r="W365" s="3" t="s">
        <v>37</v>
      </c>
      <c r="X365" s="186">
        <v>44421</v>
      </c>
      <c r="AA365" s="1107"/>
    </row>
    <row r="366" spans="1:27" ht="26.25" x14ac:dyDescent="0.25">
      <c r="A366" s="339"/>
      <c r="B366" s="338"/>
      <c r="C366" s="277"/>
      <c r="D366" s="565"/>
      <c r="E366" s="565"/>
      <c r="F366" s="1005"/>
      <c r="G366" s="277"/>
      <c r="H366" s="277"/>
      <c r="I366" s="880"/>
      <c r="J366" s="191">
        <v>5217</v>
      </c>
      <c r="K366" s="366">
        <v>104</v>
      </c>
      <c r="L366" s="938">
        <v>1531696.4000200001</v>
      </c>
      <c r="M366" s="938">
        <v>5172841.1916800002</v>
      </c>
      <c r="N366" s="275" t="s">
        <v>8379</v>
      </c>
      <c r="O366" s="275" t="s">
        <v>194</v>
      </c>
      <c r="P366" s="275">
        <v>1</v>
      </c>
      <c r="Q366" s="108" t="s">
        <v>10015</v>
      </c>
      <c r="R366" s="366" t="s">
        <v>10012</v>
      </c>
      <c r="S366" s="373" t="s">
        <v>10</v>
      </c>
      <c r="T366" s="855" t="s">
        <v>8390</v>
      </c>
      <c r="U366" s="3" t="s">
        <v>8546</v>
      </c>
      <c r="V366" s="3" t="s">
        <v>8165</v>
      </c>
      <c r="W366" s="3" t="s">
        <v>37</v>
      </c>
      <c r="X366" s="186">
        <v>44421</v>
      </c>
      <c r="AA366" s="1107"/>
    </row>
    <row r="367" spans="1:27" ht="26.25" x14ac:dyDescent="0.25">
      <c r="A367" s="339"/>
      <c r="B367" s="338"/>
      <c r="C367" s="277"/>
      <c r="D367" s="565"/>
      <c r="E367" s="565"/>
      <c r="F367" s="1005"/>
      <c r="G367" s="277"/>
      <c r="H367" s="277"/>
      <c r="I367" s="880"/>
      <c r="J367" s="191">
        <v>5218</v>
      </c>
      <c r="K367" s="366">
        <v>103</v>
      </c>
      <c r="L367" s="938">
        <v>1531939.7069900001</v>
      </c>
      <c r="M367" s="938">
        <v>5172876.6078399997</v>
      </c>
      <c r="N367" s="275" t="s">
        <v>8382</v>
      </c>
      <c r="O367" s="275" t="s">
        <v>194</v>
      </c>
      <c r="P367" s="275">
        <v>1</v>
      </c>
      <c r="Q367" s="108" t="s">
        <v>9816</v>
      </c>
      <c r="R367" s="366" t="s">
        <v>10012</v>
      </c>
      <c r="S367" s="373" t="s">
        <v>10</v>
      </c>
      <c r="T367" s="855" t="s">
        <v>8390</v>
      </c>
      <c r="U367" s="3" t="s">
        <v>8546</v>
      </c>
      <c r="V367" s="3" t="s">
        <v>8165</v>
      </c>
      <c r="W367" s="3" t="s">
        <v>37</v>
      </c>
      <c r="X367" s="186">
        <v>44421</v>
      </c>
      <c r="AA367" s="1107"/>
    </row>
    <row r="368" spans="1:27" ht="26.25" x14ac:dyDescent="0.25">
      <c r="A368" s="339"/>
      <c r="B368" s="338"/>
      <c r="C368" s="277"/>
      <c r="D368" s="565"/>
      <c r="E368" s="565"/>
      <c r="F368" s="1005"/>
      <c r="G368" s="277"/>
      <c r="H368" s="277"/>
      <c r="I368" s="880"/>
      <c r="J368" s="191">
        <v>5226</v>
      </c>
      <c r="K368" s="366">
        <v>102</v>
      </c>
      <c r="L368" s="938">
        <v>1533424.89564</v>
      </c>
      <c r="M368" s="938">
        <v>5172853.1913599996</v>
      </c>
      <c r="N368" s="275" t="s">
        <v>8383</v>
      </c>
      <c r="O368" s="275" t="s">
        <v>194</v>
      </c>
      <c r="P368" s="275">
        <v>1</v>
      </c>
      <c r="Q368" s="108" t="s">
        <v>10014</v>
      </c>
      <c r="R368" s="366" t="s">
        <v>10012</v>
      </c>
      <c r="S368" s="373" t="s">
        <v>10</v>
      </c>
      <c r="T368" s="855" t="s">
        <v>8390</v>
      </c>
      <c r="U368" s="3" t="s">
        <v>8546</v>
      </c>
      <c r="V368" s="3" t="s">
        <v>8165</v>
      </c>
      <c r="W368" s="3" t="s">
        <v>37</v>
      </c>
      <c r="X368" s="186">
        <v>44421</v>
      </c>
      <c r="AA368" s="1107"/>
    </row>
    <row r="369" spans="1:27" ht="26.25" x14ac:dyDescent="0.25">
      <c r="A369" s="339"/>
      <c r="B369" s="338"/>
      <c r="C369" s="277"/>
      <c r="D369" s="565"/>
      <c r="E369" s="565"/>
      <c r="F369" s="1005"/>
      <c r="G369" s="277"/>
      <c r="H369" s="277"/>
      <c r="I369" s="880"/>
      <c r="J369" s="191">
        <v>5276</v>
      </c>
      <c r="K369" s="366">
        <v>121</v>
      </c>
      <c r="L369" s="938">
        <v>1543620.35</v>
      </c>
      <c r="M369" s="938">
        <v>5173901.49</v>
      </c>
      <c r="N369" s="275" t="s">
        <v>8380</v>
      </c>
      <c r="O369" s="275" t="s">
        <v>194</v>
      </c>
      <c r="P369" s="275">
        <v>1</v>
      </c>
      <c r="Q369" s="108" t="s">
        <v>10013</v>
      </c>
      <c r="R369" s="366" t="s">
        <v>10012</v>
      </c>
      <c r="S369" s="373" t="s">
        <v>10</v>
      </c>
      <c r="T369" s="855" t="s">
        <v>8390</v>
      </c>
      <c r="U369" s="3" t="s">
        <v>8546</v>
      </c>
      <c r="V369" s="3" t="s">
        <v>8165</v>
      </c>
      <c r="W369" s="3" t="s">
        <v>37</v>
      </c>
      <c r="X369" s="186">
        <v>44421</v>
      </c>
      <c r="AA369" s="1107"/>
    </row>
    <row r="370" spans="1:27" ht="27" thickBot="1" x14ac:dyDescent="0.3">
      <c r="A370" s="336"/>
      <c r="B370" s="196"/>
      <c r="C370" s="96"/>
      <c r="D370" s="566"/>
      <c r="E370" s="566"/>
      <c r="F370" s="147"/>
      <c r="G370" s="96"/>
      <c r="H370" s="96"/>
      <c r="I370" s="881"/>
      <c r="J370" s="190">
        <v>5277</v>
      </c>
      <c r="K370" s="363">
        <v>123</v>
      </c>
      <c r="L370" s="912">
        <v>1544650.93</v>
      </c>
      <c r="M370" s="912">
        <v>5174856.5599999996</v>
      </c>
      <c r="N370" s="262" t="s">
        <v>8387</v>
      </c>
      <c r="O370" s="262" t="s">
        <v>194</v>
      </c>
      <c r="P370" s="262">
        <v>1</v>
      </c>
      <c r="Q370" s="107" t="s">
        <v>10033</v>
      </c>
      <c r="R370" s="363" t="s">
        <v>10002</v>
      </c>
      <c r="S370" s="330" t="s">
        <v>16</v>
      </c>
      <c r="T370" s="828" t="s">
        <v>8390</v>
      </c>
      <c r="U370" s="52" t="s">
        <v>8546</v>
      </c>
      <c r="V370" s="52" t="s">
        <v>8165</v>
      </c>
      <c r="W370" s="52" t="s">
        <v>37</v>
      </c>
      <c r="X370" s="53">
        <v>44421</v>
      </c>
      <c r="Y370" s="52"/>
      <c r="Z370" s="367"/>
      <c r="AA370" s="653"/>
    </row>
    <row r="371" spans="1:27" s="871" customFormat="1" ht="39.75" thickBot="1" x14ac:dyDescent="0.3">
      <c r="A371" s="1047" t="s">
        <v>4286</v>
      </c>
      <c r="B371" s="323" t="s">
        <v>6791</v>
      </c>
      <c r="C371" s="69" t="s">
        <v>2156</v>
      </c>
      <c r="D371" s="69" t="s">
        <v>2156</v>
      </c>
      <c r="E371" s="69" t="s">
        <v>2156</v>
      </c>
      <c r="F371" s="69" t="s">
        <v>2156</v>
      </c>
      <c r="G371" s="69" t="s">
        <v>2156</v>
      </c>
      <c r="H371" s="69" t="s">
        <v>2156</v>
      </c>
      <c r="I371" s="69" t="s">
        <v>2156</v>
      </c>
      <c r="J371" s="192">
        <v>705</v>
      </c>
      <c r="K371" s="79" t="s">
        <v>4288</v>
      </c>
      <c r="L371" s="916">
        <v>1682178</v>
      </c>
      <c r="M371" s="916">
        <v>5350585</v>
      </c>
      <c r="N371" s="119" t="s">
        <v>4289</v>
      </c>
      <c r="O371" s="119" t="s">
        <v>61</v>
      </c>
      <c r="P371" s="119" t="s">
        <v>419</v>
      </c>
      <c r="Q371" s="119" t="s">
        <v>4290</v>
      </c>
      <c r="R371" s="79" t="s">
        <v>4291</v>
      </c>
      <c r="S371" s="80" t="s">
        <v>10</v>
      </c>
      <c r="T371" s="848" t="s">
        <v>4283</v>
      </c>
      <c r="U371" s="155" t="s">
        <v>4284</v>
      </c>
      <c r="V371" s="155" t="s">
        <v>4285</v>
      </c>
      <c r="W371" s="155" t="s">
        <v>37</v>
      </c>
      <c r="X371" s="172">
        <v>44211</v>
      </c>
      <c r="Y371" s="155"/>
      <c r="Z371" s="362"/>
      <c r="AA371" s="1111"/>
    </row>
    <row r="372" spans="1:27" s="871" customFormat="1" ht="65.25" thickBot="1" x14ac:dyDescent="0.3">
      <c r="A372" s="341" t="s">
        <v>641</v>
      </c>
      <c r="B372" s="181" t="s">
        <v>6807</v>
      </c>
      <c r="C372" s="125">
        <v>547</v>
      </c>
      <c r="D372" s="585" t="s">
        <v>53</v>
      </c>
      <c r="E372" s="585"/>
      <c r="F372" s="125" t="s">
        <v>152</v>
      </c>
      <c r="G372" s="145" t="s">
        <v>1974</v>
      </c>
      <c r="H372" s="125"/>
      <c r="I372" s="247"/>
      <c r="J372" s="89">
        <v>446</v>
      </c>
      <c r="K372" s="396" t="s">
        <v>3111</v>
      </c>
      <c r="L372" s="265">
        <v>1597725.1487</v>
      </c>
      <c r="M372" s="265">
        <v>5290432.8542999998</v>
      </c>
      <c r="N372" s="109" t="s">
        <v>3112</v>
      </c>
      <c r="O372" s="109" t="s">
        <v>5</v>
      </c>
      <c r="P372" s="109">
        <v>1</v>
      </c>
      <c r="Q372" s="109" t="s">
        <v>9012</v>
      </c>
      <c r="R372" s="396" t="s">
        <v>3113</v>
      </c>
      <c r="S372" s="90" t="s">
        <v>16</v>
      </c>
      <c r="T372" s="446" t="s">
        <v>24</v>
      </c>
      <c r="U372" s="208" t="s">
        <v>3114</v>
      </c>
      <c r="V372" s="208" t="s">
        <v>4236</v>
      </c>
      <c r="W372" s="208" t="s">
        <v>37</v>
      </c>
      <c r="X372" s="209">
        <v>44132</v>
      </c>
      <c r="Y372" s="208"/>
      <c r="Z372" s="364"/>
      <c r="AA372" s="1109"/>
    </row>
    <row r="373" spans="1:27" s="871" customFormat="1" ht="39" x14ac:dyDescent="0.25">
      <c r="A373" s="1042"/>
      <c r="B373" s="346"/>
      <c r="C373" s="258"/>
      <c r="D373" s="778"/>
      <c r="E373" s="778"/>
      <c r="F373" s="146"/>
      <c r="G373" s="95"/>
      <c r="H373" s="95"/>
      <c r="I373" s="122"/>
      <c r="J373" s="189">
        <v>659</v>
      </c>
      <c r="K373" s="355" t="s">
        <v>4187</v>
      </c>
      <c r="L373" s="911">
        <v>1614840.5527999999</v>
      </c>
      <c r="M373" s="911">
        <v>5298235.6619999995</v>
      </c>
      <c r="N373" s="126" t="s">
        <v>252</v>
      </c>
      <c r="O373" s="126" t="s">
        <v>5</v>
      </c>
      <c r="P373" s="126">
        <v>1</v>
      </c>
      <c r="Q373" s="126" t="s">
        <v>5583</v>
      </c>
      <c r="R373" s="355" t="s">
        <v>4189</v>
      </c>
      <c r="S373" s="134" t="s">
        <v>10</v>
      </c>
      <c r="T373" s="846" t="s">
        <v>4190</v>
      </c>
      <c r="U373" s="152" t="s">
        <v>4191</v>
      </c>
      <c r="V373" s="152" t="s">
        <v>9216</v>
      </c>
      <c r="W373" s="152" t="s">
        <v>37</v>
      </c>
      <c r="X373" s="170">
        <v>44209</v>
      </c>
      <c r="Y373" s="152"/>
      <c r="Z373" s="361"/>
      <c r="AA373" s="1112"/>
    </row>
    <row r="374" spans="1:27" s="871" customFormat="1" ht="39.75" thickBot="1" x14ac:dyDescent="0.3">
      <c r="A374" s="1042"/>
      <c r="B374" s="346"/>
      <c r="C374" s="258"/>
      <c r="D374" s="778"/>
      <c r="E374" s="778"/>
      <c r="F374" s="146"/>
      <c r="G374" s="95"/>
      <c r="H374" s="95"/>
      <c r="I374" s="122"/>
      <c r="J374" s="190">
        <v>660</v>
      </c>
      <c r="K374" s="357" t="s">
        <v>4188</v>
      </c>
      <c r="L374" s="912">
        <v>1614852.8507000001</v>
      </c>
      <c r="M374" s="912">
        <v>5298239.2636000002</v>
      </c>
      <c r="N374" s="107" t="s">
        <v>252</v>
      </c>
      <c r="O374" s="107" t="s">
        <v>5</v>
      </c>
      <c r="P374" s="107">
        <v>1</v>
      </c>
      <c r="Q374" s="107" t="s">
        <v>5583</v>
      </c>
      <c r="R374" s="357" t="s">
        <v>4189</v>
      </c>
      <c r="S374" s="100" t="s">
        <v>10</v>
      </c>
      <c r="T374" s="848" t="s">
        <v>4190</v>
      </c>
      <c r="U374" s="155" t="s">
        <v>4191</v>
      </c>
      <c r="V374" s="155" t="s">
        <v>9216</v>
      </c>
      <c r="W374" s="155" t="s">
        <v>37</v>
      </c>
      <c r="X374" s="172">
        <v>44209</v>
      </c>
      <c r="Y374" s="155"/>
      <c r="Z374" s="362"/>
      <c r="AA374" s="1111"/>
    </row>
    <row r="375" spans="1:27" s="871" customFormat="1" ht="90.75" thickBot="1" x14ac:dyDescent="0.3">
      <c r="A375" s="1042"/>
      <c r="B375" s="346"/>
      <c r="C375" s="258"/>
      <c r="D375" s="778"/>
      <c r="E375" s="778"/>
      <c r="F375" s="146"/>
      <c r="G375" s="95"/>
      <c r="H375" s="95"/>
      <c r="I375" s="122"/>
      <c r="J375" s="89"/>
      <c r="K375" s="396" t="s">
        <v>4192</v>
      </c>
      <c r="L375" s="265"/>
      <c r="M375" s="265"/>
      <c r="N375" s="109" t="s">
        <v>4154</v>
      </c>
      <c r="O375" s="109" t="s">
        <v>5</v>
      </c>
      <c r="P375" s="109">
        <v>18</v>
      </c>
      <c r="Q375" s="109" t="s">
        <v>9011</v>
      </c>
      <c r="R375" s="357" t="s">
        <v>4189</v>
      </c>
      <c r="S375" s="90" t="s">
        <v>10</v>
      </c>
      <c r="T375" s="446" t="s">
        <v>4194</v>
      </c>
      <c r="U375" s="208" t="s">
        <v>4202</v>
      </c>
      <c r="V375" s="208" t="s">
        <v>9216</v>
      </c>
      <c r="W375" s="208" t="s">
        <v>37</v>
      </c>
      <c r="X375" s="209">
        <v>44209</v>
      </c>
      <c r="Y375" s="208"/>
      <c r="Z375" s="364"/>
      <c r="AA375" s="1109"/>
    </row>
    <row r="376" spans="1:27" s="871" customFormat="1" ht="78" thickBot="1" x14ac:dyDescent="0.3">
      <c r="A376" s="1042"/>
      <c r="B376" s="346"/>
      <c r="C376" s="258"/>
      <c r="D376" s="778"/>
      <c r="E376" s="778"/>
      <c r="F376" s="146"/>
      <c r="G376" s="95"/>
      <c r="H376" s="95"/>
      <c r="I376" s="122"/>
      <c r="J376" s="89"/>
      <c r="K376" s="396" t="s">
        <v>4195</v>
      </c>
      <c r="L376" s="265"/>
      <c r="M376" s="265"/>
      <c r="N376" s="109" t="s">
        <v>4196</v>
      </c>
      <c r="O376" s="109" t="s">
        <v>5</v>
      </c>
      <c r="P376" s="109">
        <v>48</v>
      </c>
      <c r="Q376" s="109" t="s">
        <v>9010</v>
      </c>
      <c r="R376" s="357" t="s">
        <v>4189</v>
      </c>
      <c r="S376" s="90" t="s">
        <v>16</v>
      </c>
      <c r="T376" s="446" t="s">
        <v>4197</v>
      </c>
      <c r="U376" s="208" t="s">
        <v>4199</v>
      </c>
      <c r="V376" s="208" t="s">
        <v>9216</v>
      </c>
      <c r="W376" s="208" t="s">
        <v>37</v>
      </c>
      <c r="X376" s="209">
        <v>44209</v>
      </c>
      <c r="Y376" s="208"/>
      <c r="Z376" s="364"/>
      <c r="AA376" s="1109"/>
    </row>
    <row r="377" spans="1:27" s="871" customFormat="1" ht="52.5" thickBot="1" x14ac:dyDescent="0.3">
      <c r="A377" s="1042"/>
      <c r="B377" s="346"/>
      <c r="C377" s="258"/>
      <c r="D377" s="778"/>
      <c r="E377" s="778"/>
      <c r="F377" s="146"/>
      <c r="G377" s="95"/>
      <c r="H377" s="95"/>
      <c r="I377" s="122"/>
      <c r="J377" s="89"/>
      <c r="K377" s="396" t="s">
        <v>4193</v>
      </c>
      <c r="L377" s="265"/>
      <c r="M377" s="265"/>
      <c r="N377" s="109" t="s">
        <v>4198</v>
      </c>
      <c r="O377" s="109" t="s">
        <v>5</v>
      </c>
      <c r="P377" s="109">
        <v>66</v>
      </c>
      <c r="Q377" s="109" t="s">
        <v>9009</v>
      </c>
      <c r="R377" s="357" t="s">
        <v>4189</v>
      </c>
      <c r="S377" s="90" t="s">
        <v>16</v>
      </c>
      <c r="T377" s="446" t="s">
        <v>4194</v>
      </c>
      <c r="U377" s="208" t="s">
        <v>4200</v>
      </c>
      <c r="V377" s="208" t="s">
        <v>9216</v>
      </c>
      <c r="W377" s="208" t="s">
        <v>37</v>
      </c>
      <c r="X377" s="209">
        <v>44209</v>
      </c>
      <c r="Y377" s="208"/>
      <c r="Z377" s="364"/>
      <c r="AA377" s="1109"/>
    </row>
    <row r="378" spans="1:27" s="871" customFormat="1" ht="39" x14ac:dyDescent="0.25">
      <c r="A378" s="1042"/>
      <c r="B378" s="346"/>
      <c r="C378" s="258"/>
      <c r="D378" s="778"/>
      <c r="E378" s="778"/>
      <c r="F378" s="146"/>
      <c r="G378" s="95"/>
      <c r="H378" s="95"/>
      <c r="I378" s="122"/>
      <c r="J378" s="189">
        <v>666</v>
      </c>
      <c r="K378" s="355" t="s">
        <v>4237</v>
      </c>
      <c r="L378" s="911">
        <v>1610142</v>
      </c>
      <c r="M378" s="911">
        <v>5295708</v>
      </c>
      <c r="N378" s="126" t="s">
        <v>4247</v>
      </c>
      <c r="O378" s="126" t="s">
        <v>5</v>
      </c>
      <c r="P378" s="126">
        <v>12</v>
      </c>
      <c r="Q378" s="126" t="s">
        <v>9008</v>
      </c>
      <c r="R378" s="355" t="s">
        <v>4189</v>
      </c>
      <c r="S378" s="134" t="s">
        <v>10</v>
      </c>
      <c r="T378" s="846" t="s">
        <v>24</v>
      </c>
      <c r="U378" s="152" t="s">
        <v>4262</v>
      </c>
      <c r="V378" s="152" t="s">
        <v>9217</v>
      </c>
      <c r="W378" s="152" t="s">
        <v>37</v>
      </c>
      <c r="X378" s="170">
        <v>44210</v>
      </c>
      <c r="Y378" s="152"/>
      <c r="Z378" s="361"/>
      <c r="AA378" s="1112"/>
    </row>
    <row r="379" spans="1:27" s="871" customFormat="1" ht="39" x14ac:dyDescent="0.25">
      <c r="A379" s="1042"/>
      <c r="B379" s="346"/>
      <c r="C379" s="258"/>
      <c r="D379" s="778"/>
      <c r="E379" s="778"/>
      <c r="F379" s="146"/>
      <c r="G379" s="95"/>
      <c r="H379" s="95"/>
      <c r="I379" s="122"/>
      <c r="J379" s="191">
        <v>667</v>
      </c>
      <c r="K379" s="359" t="s">
        <v>4238</v>
      </c>
      <c r="L379" s="913">
        <v>1611046</v>
      </c>
      <c r="M379" s="913">
        <v>5296089</v>
      </c>
      <c r="N379" s="108" t="s">
        <v>4248</v>
      </c>
      <c r="O379" s="108" t="s">
        <v>5</v>
      </c>
      <c r="P379" s="108">
        <v>24</v>
      </c>
      <c r="Q379" s="108" t="s">
        <v>9007</v>
      </c>
      <c r="R379" s="359" t="s">
        <v>4189</v>
      </c>
      <c r="S379" s="98" t="s">
        <v>10</v>
      </c>
      <c r="T379" s="847" t="s">
        <v>4257</v>
      </c>
      <c r="U379" s="137" t="s">
        <v>4262</v>
      </c>
      <c r="V379" s="137" t="s">
        <v>9217</v>
      </c>
      <c r="W379" s="137" t="s">
        <v>37</v>
      </c>
      <c r="X379" s="139">
        <v>44210</v>
      </c>
      <c r="Y379" s="137"/>
      <c r="Z379" s="358"/>
      <c r="AA379" s="1110"/>
    </row>
    <row r="380" spans="1:27" s="871" customFormat="1" ht="39" x14ac:dyDescent="0.25">
      <c r="A380" s="1042"/>
      <c r="B380" s="346"/>
      <c r="C380" s="258"/>
      <c r="D380" s="778"/>
      <c r="E380" s="778"/>
      <c r="F380" s="146"/>
      <c r="G380" s="95"/>
      <c r="H380" s="95"/>
      <c r="I380" s="122"/>
      <c r="J380" s="191">
        <v>668</v>
      </c>
      <c r="K380" s="359" t="s">
        <v>4239</v>
      </c>
      <c r="L380" s="913">
        <v>1617989</v>
      </c>
      <c r="M380" s="913">
        <v>5299912</v>
      </c>
      <c r="N380" s="108" t="s">
        <v>4249</v>
      </c>
      <c r="O380" s="108" t="s">
        <v>5</v>
      </c>
      <c r="P380" s="108">
        <v>36</v>
      </c>
      <c r="Q380" s="108" t="s">
        <v>9006</v>
      </c>
      <c r="R380" s="359" t="s">
        <v>4189</v>
      </c>
      <c r="S380" s="98" t="s">
        <v>10</v>
      </c>
      <c r="T380" s="847" t="s">
        <v>4258</v>
      </c>
      <c r="U380" s="137" t="s">
        <v>4262</v>
      </c>
      <c r="V380" s="137" t="s">
        <v>9217</v>
      </c>
      <c r="W380" s="137" t="s">
        <v>37</v>
      </c>
      <c r="X380" s="139">
        <v>44210</v>
      </c>
      <c r="Y380" s="137"/>
      <c r="Z380" s="358"/>
      <c r="AA380" s="1110"/>
    </row>
    <row r="381" spans="1:27" s="871" customFormat="1" ht="39" x14ac:dyDescent="0.25">
      <c r="A381" s="1042"/>
      <c r="B381" s="346"/>
      <c r="C381" s="258"/>
      <c r="D381" s="778"/>
      <c r="E381" s="778"/>
      <c r="F381" s="146"/>
      <c r="G381" s="95"/>
      <c r="H381" s="95"/>
      <c r="I381" s="122"/>
      <c r="J381" s="191">
        <v>669</v>
      </c>
      <c r="K381" s="359" t="s">
        <v>4240</v>
      </c>
      <c r="L381" s="913">
        <v>1619228</v>
      </c>
      <c r="M381" s="913">
        <v>5300569</v>
      </c>
      <c r="N381" s="108" t="s">
        <v>4250</v>
      </c>
      <c r="O381" s="108" t="s">
        <v>5</v>
      </c>
      <c r="P381" s="108">
        <v>12</v>
      </c>
      <c r="Q381" s="108" t="s">
        <v>9005</v>
      </c>
      <c r="R381" s="359" t="s">
        <v>4189</v>
      </c>
      <c r="S381" s="98" t="s">
        <v>10</v>
      </c>
      <c r="T381" s="847" t="s">
        <v>24</v>
      </c>
      <c r="U381" s="137" t="s">
        <v>4262</v>
      </c>
      <c r="V381" s="137" t="s">
        <v>9217</v>
      </c>
      <c r="W381" s="137" t="s">
        <v>37</v>
      </c>
      <c r="X381" s="139">
        <v>44210</v>
      </c>
      <c r="Y381" s="137"/>
      <c r="Z381" s="358"/>
      <c r="AA381" s="1110"/>
    </row>
    <row r="382" spans="1:27" s="871" customFormat="1" ht="39" x14ac:dyDescent="0.25">
      <c r="A382" s="1042"/>
      <c r="B382" s="346"/>
      <c r="C382" s="258"/>
      <c r="D382" s="778"/>
      <c r="E382" s="778"/>
      <c r="F382" s="146"/>
      <c r="G382" s="95"/>
      <c r="H382" s="95"/>
      <c r="I382" s="122"/>
      <c r="J382" s="191">
        <v>670</v>
      </c>
      <c r="K382" s="359" t="s">
        <v>4241</v>
      </c>
      <c r="L382" s="913">
        <v>1619314</v>
      </c>
      <c r="M382" s="913">
        <v>5300565</v>
      </c>
      <c r="N382" s="108" t="s">
        <v>4251</v>
      </c>
      <c r="O382" s="108" t="s">
        <v>5</v>
      </c>
      <c r="P382" s="108">
        <v>36</v>
      </c>
      <c r="Q382" s="108" t="s">
        <v>9004</v>
      </c>
      <c r="R382" s="359" t="s">
        <v>4189</v>
      </c>
      <c r="S382" s="98" t="s">
        <v>10</v>
      </c>
      <c r="T382" s="847" t="s">
        <v>4259</v>
      </c>
      <c r="U382" s="137" t="s">
        <v>4262</v>
      </c>
      <c r="V382" s="137" t="s">
        <v>9217</v>
      </c>
      <c r="W382" s="137" t="s">
        <v>37</v>
      </c>
      <c r="X382" s="139">
        <v>44210</v>
      </c>
      <c r="Y382" s="137"/>
      <c r="Z382" s="358"/>
      <c r="AA382" s="1110"/>
    </row>
    <row r="383" spans="1:27" s="871" customFormat="1" ht="39" x14ac:dyDescent="0.25">
      <c r="A383" s="1042"/>
      <c r="B383" s="346"/>
      <c r="C383" s="258"/>
      <c r="D383" s="778"/>
      <c r="E383" s="778"/>
      <c r="F383" s="146"/>
      <c r="G383" s="95"/>
      <c r="H383" s="95"/>
      <c r="I383" s="122"/>
      <c r="J383" s="191">
        <v>671</v>
      </c>
      <c r="K383" s="359" t="s">
        <v>4242</v>
      </c>
      <c r="L383" s="913">
        <v>1619319</v>
      </c>
      <c r="M383" s="913">
        <v>5300609</v>
      </c>
      <c r="N383" s="108" t="s">
        <v>4252</v>
      </c>
      <c r="O383" s="108" t="s">
        <v>5</v>
      </c>
      <c r="P383" s="108">
        <v>12</v>
      </c>
      <c r="Q383" s="108" t="s">
        <v>9003</v>
      </c>
      <c r="R383" s="359" t="s">
        <v>4189</v>
      </c>
      <c r="S383" s="98" t="s">
        <v>10</v>
      </c>
      <c r="T383" s="847" t="s">
        <v>24</v>
      </c>
      <c r="U383" s="137" t="s">
        <v>4262</v>
      </c>
      <c r="V383" s="137" t="s">
        <v>9217</v>
      </c>
      <c r="W383" s="137" t="s">
        <v>37</v>
      </c>
      <c r="X383" s="139">
        <v>44210</v>
      </c>
      <c r="Y383" s="137"/>
      <c r="Z383" s="358"/>
      <c r="AA383" s="1110"/>
    </row>
    <row r="384" spans="1:27" s="871" customFormat="1" ht="39" x14ac:dyDescent="0.25">
      <c r="A384" s="1042"/>
      <c r="B384" s="346"/>
      <c r="C384" s="258"/>
      <c r="D384" s="778"/>
      <c r="E384" s="778"/>
      <c r="F384" s="146"/>
      <c r="G384" s="95"/>
      <c r="H384" s="95"/>
      <c r="I384" s="122"/>
      <c r="J384" s="191">
        <v>672</v>
      </c>
      <c r="K384" s="359" t="s">
        <v>4243</v>
      </c>
      <c r="L384" s="913">
        <v>1621677</v>
      </c>
      <c r="M384" s="913">
        <v>5301807</v>
      </c>
      <c r="N384" s="108" t="s">
        <v>4253</v>
      </c>
      <c r="O384" s="108" t="s">
        <v>5</v>
      </c>
      <c r="P384" s="108">
        <v>24</v>
      </c>
      <c r="Q384" s="108" t="s">
        <v>9002</v>
      </c>
      <c r="R384" s="359" t="s">
        <v>4189</v>
      </c>
      <c r="S384" s="98" t="s">
        <v>10</v>
      </c>
      <c r="T384" s="847" t="s">
        <v>4260</v>
      </c>
      <c r="U384" s="137" t="s">
        <v>4262</v>
      </c>
      <c r="V384" s="137" t="s">
        <v>9217</v>
      </c>
      <c r="W384" s="137" t="s">
        <v>37</v>
      </c>
      <c r="X384" s="139">
        <v>44210</v>
      </c>
      <c r="Y384" s="137"/>
      <c r="Z384" s="358"/>
      <c r="AA384" s="1110"/>
    </row>
    <row r="385" spans="1:27" s="871" customFormat="1" ht="39" x14ac:dyDescent="0.25">
      <c r="A385" s="1042"/>
      <c r="B385" s="346"/>
      <c r="C385" s="258"/>
      <c r="D385" s="778"/>
      <c r="E385" s="778"/>
      <c r="F385" s="146"/>
      <c r="G385" s="95"/>
      <c r="H385" s="95"/>
      <c r="I385" s="122"/>
      <c r="J385" s="191">
        <v>673</v>
      </c>
      <c r="K385" s="359" t="s">
        <v>4244</v>
      </c>
      <c r="L385" s="913">
        <v>1625857</v>
      </c>
      <c r="M385" s="913">
        <v>5303681</v>
      </c>
      <c r="N385" s="108" t="s">
        <v>4254</v>
      </c>
      <c r="O385" s="108" t="s">
        <v>5</v>
      </c>
      <c r="P385" s="108">
        <v>24</v>
      </c>
      <c r="Q385" s="108" t="s">
        <v>9001</v>
      </c>
      <c r="R385" s="359" t="s">
        <v>4189</v>
      </c>
      <c r="S385" s="98" t="s">
        <v>10</v>
      </c>
      <c r="T385" s="847" t="s">
        <v>4261</v>
      </c>
      <c r="U385" s="137" t="s">
        <v>4262</v>
      </c>
      <c r="V385" s="137" t="s">
        <v>9217</v>
      </c>
      <c r="W385" s="137" t="s">
        <v>37</v>
      </c>
      <c r="X385" s="139">
        <v>44210</v>
      </c>
      <c r="Y385" s="137"/>
      <c r="Z385" s="358"/>
      <c r="AA385" s="1110"/>
    </row>
    <row r="386" spans="1:27" s="871" customFormat="1" ht="39" x14ac:dyDescent="0.25">
      <c r="A386" s="1042"/>
      <c r="B386" s="346"/>
      <c r="C386" s="258"/>
      <c r="D386" s="778"/>
      <c r="E386" s="778"/>
      <c r="F386" s="146"/>
      <c r="G386" s="95"/>
      <c r="H386" s="95"/>
      <c r="I386" s="122"/>
      <c r="J386" s="191">
        <v>674</v>
      </c>
      <c r="K386" s="359" t="s">
        <v>4245</v>
      </c>
      <c r="L386" s="913">
        <v>1625971</v>
      </c>
      <c r="M386" s="913">
        <v>5303730</v>
      </c>
      <c r="N386" s="108" t="s">
        <v>4255</v>
      </c>
      <c r="O386" s="108" t="s">
        <v>5</v>
      </c>
      <c r="P386" s="108">
        <v>24</v>
      </c>
      <c r="Q386" s="108" t="s">
        <v>9000</v>
      </c>
      <c r="R386" s="359" t="s">
        <v>4189</v>
      </c>
      <c r="S386" s="98" t="s">
        <v>10</v>
      </c>
      <c r="T386" s="847" t="s">
        <v>4261</v>
      </c>
      <c r="U386" s="137" t="s">
        <v>4262</v>
      </c>
      <c r="V386" s="137" t="s">
        <v>9217</v>
      </c>
      <c r="W386" s="137" t="s">
        <v>37</v>
      </c>
      <c r="X386" s="139">
        <v>44210</v>
      </c>
      <c r="Y386" s="137"/>
      <c r="Z386" s="358"/>
      <c r="AA386" s="1110"/>
    </row>
    <row r="387" spans="1:27" s="871" customFormat="1" ht="39.75" thickBot="1" x14ac:dyDescent="0.3">
      <c r="A387" s="1042"/>
      <c r="B387" s="346"/>
      <c r="C387" s="258"/>
      <c r="D387" s="778"/>
      <c r="E387" s="778"/>
      <c r="F387" s="146"/>
      <c r="G387" s="95"/>
      <c r="H387" s="95"/>
      <c r="I387" s="122"/>
      <c r="J387" s="190">
        <v>675</v>
      </c>
      <c r="K387" s="357" t="s">
        <v>4246</v>
      </c>
      <c r="L387" s="912">
        <v>1630471</v>
      </c>
      <c r="M387" s="912">
        <v>5305632</v>
      </c>
      <c r="N387" s="107" t="s">
        <v>4256</v>
      </c>
      <c r="O387" s="107" t="s">
        <v>5</v>
      </c>
      <c r="P387" s="107">
        <v>12</v>
      </c>
      <c r="Q387" s="107" t="s">
        <v>8999</v>
      </c>
      <c r="R387" s="357" t="s">
        <v>4189</v>
      </c>
      <c r="S387" s="100" t="s">
        <v>10</v>
      </c>
      <c r="T387" s="848" t="s">
        <v>24</v>
      </c>
      <c r="U387" s="155" t="s">
        <v>4262</v>
      </c>
      <c r="V387" s="155" t="s">
        <v>9217</v>
      </c>
      <c r="W387" s="155" t="s">
        <v>37</v>
      </c>
      <c r="X387" s="172">
        <v>44210</v>
      </c>
      <c r="Y387" s="155"/>
      <c r="Z387" s="362"/>
      <c r="AA387" s="1111"/>
    </row>
    <row r="388" spans="1:27" s="871" customFormat="1" ht="39.75" thickBot="1" x14ac:dyDescent="0.3">
      <c r="A388" s="1042"/>
      <c r="B388" s="346"/>
      <c r="C388" s="258"/>
      <c r="D388" s="778"/>
      <c r="E388" s="778"/>
      <c r="F388" s="146"/>
      <c r="G388" s="95"/>
      <c r="H388" s="95"/>
      <c r="I388" s="122"/>
      <c r="J388" s="89"/>
      <c r="K388" s="396" t="s">
        <v>4263</v>
      </c>
      <c r="L388" s="265"/>
      <c r="M388" s="265"/>
      <c r="N388" s="109" t="s">
        <v>4264</v>
      </c>
      <c r="O388" s="109" t="s">
        <v>5</v>
      </c>
      <c r="P388" s="109">
        <f>SUM(P378:P387)</f>
        <v>216</v>
      </c>
      <c r="Q388" s="109" t="s">
        <v>8998</v>
      </c>
      <c r="R388" s="396" t="s">
        <v>4189</v>
      </c>
      <c r="S388" s="90" t="s">
        <v>10</v>
      </c>
      <c r="T388" s="446" t="s">
        <v>1742</v>
      </c>
      <c r="U388" s="208" t="s">
        <v>4265</v>
      </c>
      <c r="V388" s="155" t="s">
        <v>9217</v>
      </c>
      <c r="W388" s="155" t="s">
        <v>37</v>
      </c>
      <c r="X388" s="172">
        <v>44210</v>
      </c>
      <c r="Y388" s="155"/>
      <c r="Z388" s="364"/>
      <c r="AA388" s="1109"/>
    </row>
    <row r="389" spans="1:27" s="871" customFormat="1" ht="65.25" thickBot="1" x14ac:dyDescent="0.3">
      <c r="A389" s="1042"/>
      <c r="B389" s="346"/>
      <c r="C389" s="258"/>
      <c r="D389" s="778"/>
      <c r="E389" s="778"/>
      <c r="F389" s="146"/>
      <c r="G389" s="95"/>
      <c r="H389" s="95"/>
      <c r="I389" s="122"/>
      <c r="J389" s="89"/>
      <c r="K389" s="396" t="s">
        <v>4266</v>
      </c>
      <c r="L389" s="265"/>
      <c r="M389" s="265"/>
      <c r="N389" s="109" t="s">
        <v>4264</v>
      </c>
      <c r="O389" s="109" t="s">
        <v>5</v>
      </c>
      <c r="P389" s="109"/>
      <c r="Q389" s="109" t="s">
        <v>8997</v>
      </c>
      <c r="R389" s="396" t="s">
        <v>4189</v>
      </c>
      <c r="S389" s="90" t="s">
        <v>10</v>
      </c>
      <c r="T389" s="446" t="s">
        <v>1742</v>
      </c>
      <c r="U389" s="208" t="s">
        <v>4267</v>
      </c>
      <c r="V389" s="155" t="s">
        <v>9217</v>
      </c>
      <c r="W389" s="155" t="s">
        <v>37</v>
      </c>
      <c r="X389" s="172">
        <v>44210</v>
      </c>
      <c r="Y389" s="155"/>
      <c r="Z389" s="364"/>
      <c r="AA389" s="1109"/>
    </row>
    <row r="390" spans="1:27" s="871" customFormat="1" ht="52.5" thickBot="1" x14ac:dyDescent="0.3">
      <c r="A390" s="1042"/>
      <c r="B390" s="346"/>
      <c r="C390" s="258"/>
      <c r="D390" s="778"/>
      <c r="E390" s="778"/>
      <c r="F390" s="146"/>
      <c r="G390" s="95"/>
      <c r="H390" s="95"/>
      <c r="I390" s="122"/>
      <c r="J390" s="89"/>
      <c r="K390" s="396" t="s">
        <v>4268</v>
      </c>
      <c r="L390" s="265"/>
      <c r="M390" s="265"/>
      <c r="N390" s="109" t="s">
        <v>4269</v>
      </c>
      <c r="O390" s="109" t="s">
        <v>5</v>
      </c>
      <c r="P390" s="109"/>
      <c r="Q390" s="109" t="s">
        <v>8996</v>
      </c>
      <c r="R390" s="396" t="s">
        <v>4189</v>
      </c>
      <c r="S390" s="90" t="s">
        <v>10</v>
      </c>
      <c r="T390" s="446" t="s">
        <v>1742</v>
      </c>
      <c r="U390" s="208" t="s">
        <v>4270</v>
      </c>
      <c r="V390" s="155" t="s">
        <v>9217</v>
      </c>
      <c r="W390" s="155" t="s">
        <v>37</v>
      </c>
      <c r="X390" s="172">
        <v>44210</v>
      </c>
      <c r="Y390" s="155"/>
      <c r="Z390" s="364"/>
      <c r="AA390" s="1109"/>
    </row>
    <row r="391" spans="1:27" s="871" customFormat="1" ht="52.5" thickBot="1" x14ac:dyDescent="0.3">
      <c r="A391" s="1042"/>
      <c r="B391" s="346"/>
      <c r="C391" s="258"/>
      <c r="D391" s="778"/>
      <c r="E391" s="778"/>
      <c r="F391" s="146"/>
      <c r="G391" s="95"/>
      <c r="H391" s="95"/>
      <c r="I391" s="122"/>
      <c r="J391" s="89"/>
      <c r="K391" s="396" t="s">
        <v>4271</v>
      </c>
      <c r="L391" s="265"/>
      <c r="M391" s="265"/>
      <c r="N391" s="109" t="s">
        <v>4272</v>
      </c>
      <c r="O391" s="109" t="s">
        <v>5</v>
      </c>
      <c r="P391" s="109"/>
      <c r="Q391" s="109" t="s">
        <v>8995</v>
      </c>
      <c r="R391" s="396" t="s">
        <v>4189</v>
      </c>
      <c r="S391" s="90" t="s">
        <v>10</v>
      </c>
      <c r="T391" s="446" t="s">
        <v>1742</v>
      </c>
      <c r="U391" s="208" t="s">
        <v>4270</v>
      </c>
      <c r="V391" s="155" t="s">
        <v>9217</v>
      </c>
      <c r="W391" s="155" t="s">
        <v>37</v>
      </c>
      <c r="X391" s="172">
        <v>44210</v>
      </c>
      <c r="Y391" s="155"/>
      <c r="Z391" s="364"/>
      <c r="AA391" s="1109"/>
    </row>
    <row r="392" spans="1:27" s="871" customFormat="1" ht="52.5" thickBot="1" x14ac:dyDescent="0.3">
      <c r="A392" s="636"/>
      <c r="B392" s="315"/>
      <c r="C392" s="261"/>
      <c r="D392" s="581"/>
      <c r="E392" s="581"/>
      <c r="F392" s="147"/>
      <c r="G392" s="96"/>
      <c r="H392" s="96"/>
      <c r="I392" s="123"/>
      <c r="J392" s="89"/>
      <c r="K392" s="396" t="s">
        <v>4268</v>
      </c>
      <c r="L392" s="265"/>
      <c r="M392" s="265"/>
      <c r="N392" s="109" t="s">
        <v>4273</v>
      </c>
      <c r="O392" s="109" t="s">
        <v>5</v>
      </c>
      <c r="P392" s="109"/>
      <c r="Q392" s="109" t="s">
        <v>8994</v>
      </c>
      <c r="R392" s="396" t="s">
        <v>4189</v>
      </c>
      <c r="S392" s="90" t="s">
        <v>10</v>
      </c>
      <c r="T392" s="446" t="s">
        <v>1742</v>
      </c>
      <c r="U392" s="208" t="s">
        <v>4270</v>
      </c>
      <c r="V392" s="155" t="s">
        <v>9217</v>
      </c>
      <c r="W392" s="155" t="s">
        <v>37</v>
      </c>
      <c r="X392" s="172">
        <v>44210</v>
      </c>
      <c r="Y392" s="155"/>
      <c r="Z392" s="364"/>
      <c r="AA392" s="1109"/>
    </row>
    <row r="393" spans="1:27" s="871" customFormat="1" ht="51.75" x14ac:dyDescent="0.25">
      <c r="A393" s="487" t="s">
        <v>641</v>
      </c>
      <c r="B393" s="128" t="s">
        <v>6808</v>
      </c>
      <c r="C393" s="72">
        <v>552</v>
      </c>
      <c r="D393" s="586" t="s">
        <v>53</v>
      </c>
      <c r="E393" s="586" t="s">
        <v>52</v>
      </c>
      <c r="F393" s="72" t="s">
        <v>567</v>
      </c>
      <c r="G393" s="72" t="s">
        <v>1972</v>
      </c>
      <c r="H393" s="72"/>
      <c r="I393" s="381"/>
      <c r="J393" s="187">
        <v>649</v>
      </c>
      <c r="K393" s="73" t="s">
        <v>4128</v>
      </c>
      <c r="L393" s="914">
        <v>1559988.2971999999</v>
      </c>
      <c r="M393" s="914">
        <v>5283847.3236999996</v>
      </c>
      <c r="N393" s="129">
        <v>1.5</v>
      </c>
      <c r="O393" s="129" t="s">
        <v>5</v>
      </c>
      <c r="P393" s="129">
        <v>1</v>
      </c>
      <c r="Q393" s="129">
        <v>1.5</v>
      </c>
      <c r="R393" s="73" t="s">
        <v>3113</v>
      </c>
      <c r="S393" s="74" t="s">
        <v>16</v>
      </c>
      <c r="T393" s="846" t="s">
        <v>4131</v>
      </c>
      <c r="U393" s="152" t="s">
        <v>4133</v>
      </c>
      <c r="V393" s="152" t="s">
        <v>4132</v>
      </c>
      <c r="W393" s="152" t="s">
        <v>37</v>
      </c>
      <c r="X393" s="170">
        <v>44207</v>
      </c>
      <c r="Y393" s="152"/>
      <c r="Z393" s="361"/>
      <c r="AA393" s="1112"/>
    </row>
    <row r="394" spans="1:27" s="871" customFormat="1" ht="51.75" x14ac:dyDescent="0.25">
      <c r="A394" s="1038"/>
      <c r="B394" s="571"/>
      <c r="C394" s="67"/>
      <c r="D394" s="580"/>
      <c r="E394" s="580"/>
      <c r="F394" s="143"/>
      <c r="G394" s="75"/>
      <c r="H394" s="75"/>
      <c r="I394" s="121"/>
      <c r="J394" s="188">
        <v>650</v>
      </c>
      <c r="K394" s="76" t="s">
        <v>4129</v>
      </c>
      <c r="L394" s="915">
        <v>1556638.1546</v>
      </c>
      <c r="M394" s="915">
        <v>5283421.3186999997</v>
      </c>
      <c r="N394" s="118">
        <v>2.6</v>
      </c>
      <c r="O394" s="118" t="s">
        <v>5</v>
      </c>
      <c r="P394" s="118">
        <v>1</v>
      </c>
      <c r="Q394" s="118">
        <v>2.6</v>
      </c>
      <c r="R394" s="76" t="s">
        <v>3113</v>
      </c>
      <c r="S394" s="77" t="s">
        <v>16</v>
      </c>
      <c r="T394" s="847" t="s">
        <v>4131</v>
      </c>
      <c r="U394" s="137" t="s">
        <v>4133</v>
      </c>
      <c r="V394" s="137" t="s">
        <v>4132</v>
      </c>
      <c r="W394" s="137" t="s">
        <v>37</v>
      </c>
      <c r="X394" s="139">
        <v>44207</v>
      </c>
      <c r="Y394" s="137"/>
      <c r="Z394" s="358"/>
      <c r="AA394" s="1110"/>
    </row>
    <row r="395" spans="1:27" s="871" customFormat="1" ht="52.5" thickBot="1" x14ac:dyDescent="0.3">
      <c r="A395" s="1038"/>
      <c r="B395" s="571"/>
      <c r="C395" s="67"/>
      <c r="D395" s="580"/>
      <c r="E395" s="580"/>
      <c r="F395" s="143"/>
      <c r="G395" s="75"/>
      <c r="H395" s="75"/>
      <c r="I395" s="121"/>
      <c r="J395" s="192">
        <v>651</v>
      </c>
      <c r="K395" s="79" t="s">
        <v>4130</v>
      </c>
      <c r="L395" s="916">
        <v>1555907.1613</v>
      </c>
      <c r="M395" s="916">
        <v>5283329.1546999998</v>
      </c>
      <c r="N395" s="119">
        <v>2.4</v>
      </c>
      <c r="O395" s="119" t="s">
        <v>5</v>
      </c>
      <c r="P395" s="119">
        <v>1</v>
      </c>
      <c r="Q395" s="119">
        <v>2.4</v>
      </c>
      <c r="R395" s="79" t="s">
        <v>3113</v>
      </c>
      <c r="S395" s="80" t="s">
        <v>16</v>
      </c>
      <c r="T395" s="848" t="s">
        <v>4131</v>
      </c>
      <c r="U395" s="155" t="s">
        <v>4133</v>
      </c>
      <c r="V395" s="155" t="s">
        <v>4132</v>
      </c>
      <c r="W395" s="155" t="s">
        <v>37</v>
      </c>
      <c r="X395" s="172">
        <v>44207</v>
      </c>
      <c r="Y395" s="155"/>
      <c r="Z395" s="362"/>
      <c r="AA395" s="1111"/>
    </row>
    <row r="396" spans="1:27" s="871" customFormat="1" ht="39" x14ac:dyDescent="0.25">
      <c r="A396" s="1038"/>
      <c r="B396" s="571"/>
      <c r="C396" s="67"/>
      <c r="D396" s="580"/>
      <c r="E396" s="580"/>
      <c r="F396" s="143"/>
      <c r="G396" s="75"/>
      <c r="H396" s="75"/>
      <c r="I396" s="121"/>
      <c r="J396" s="188">
        <v>639</v>
      </c>
      <c r="K396" s="76" t="s">
        <v>4083</v>
      </c>
      <c r="L396" s="915">
        <v>1520212.7990999999</v>
      </c>
      <c r="M396" s="915">
        <v>5272874.7158000004</v>
      </c>
      <c r="N396" s="118" t="s">
        <v>4114</v>
      </c>
      <c r="O396" s="118" t="s">
        <v>61</v>
      </c>
      <c r="P396" s="118" t="s">
        <v>419</v>
      </c>
      <c r="Q396" s="118" t="s">
        <v>4115</v>
      </c>
      <c r="R396" s="76" t="s">
        <v>4108</v>
      </c>
      <c r="S396" s="77" t="s">
        <v>85</v>
      </c>
      <c r="T396" s="847" t="s">
        <v>401</v>
      </c>
      <c r="U396" s="498" t="s">
        <v>4117</v>
      </c>
      <c r="V396" s="498" t="s">
        <v>4116</v>
      </c>
      <c r="W396" s="137" t="s">
        <v>37</v>
      </c>
      <c r="X396" s="139">
        <v>44207</v>
      </c>
      <c r="Y396" s="137"/>
      <c r="Z396" s="358"/>
      <c r="AA396" s="1110"/>
    </row>
    <row r="397" spans="1:27" s="871" customFormat="1" ht="39" x14ac:dyDescent="0.25">
      <c r="A397" s="1038"/>
      <c r="B397" s="571"/>
      <c r="C397" s="67"/>
      <c r="D397" s="580"/>
      <c r="E397" s="580"/>
      <c r="F397" s="143"/>
      <c r="G397" s="75"/>
      <c r="H397" s="75"/>
      <c r="I397" s="121"/>
      <c r="J397" s="188">
        <v>640</v>
      </c>
      <c r="K397" s="76" t="s">
        <v>4084</v>
      </c>
      <c r="L397" s="915">
        <v>1521606.9920000001</v>
      </c>
      <c r="M397" s="915">
        <v>5273333.1618999997</v>
      </c>
      <c r="N397" s="118" t="s">
        <v>4093</v>
      </c>
      <c r="O397" s="118" t="s">
        <v>61</v>
      </c>
      <c r="P397" s="118" t="s">
        <v>419</v>
      </c>
      <c r="Q397" s="118" t="s">
        <v>4103</v>
      </c>
      <c r="R397" s="76" t="s">
        <v>4108</v>
      </c>
      <c r="S397" s="77" t="s">
        <v>85</v>
      </c>
      <c r="T397" s="847" t="s">
        <v>638</v>
      </c>
      <c r="U397" s="498" t="s">
        <v>4117</v>
      </c>
      <c r="V397" s="498" t="s">
        <v>4116</v>
      </c>
      <c r="W397" s="137" t="s">
        <v>37</v>
      </c>
      <c r="X397" s="139">
        <v>44207</v>
      </c>
      <c r="Y397" s="137"/>
      <c r="Z397" s="358"/>
      <c r="AA397" s="1110"/>
    </row>
    <row r="398" spans="1:27" s="871" customFormat="1" ht="39" x14ac:dyDescent="0.25">
      <c r="A398" s="1038"/>
      <c r="B398" s="571"/>
      <c r="C398" s="67"/>
      <c r="D398" s="580"/>
      <c r="E398" s="580"/>
      <c r="F398" s="143"/>
      <c r="G398" s="75"/>
      <c r="H398" s="75"/>
      <c r="I398" s="121"/>
      <c r="J398" s="188">
        <v>641</v>
      </c>
      <c r="K398" s="76" t="s">
        <v>4085</v>
      </c>
      <c r="L398" s="915">
        <v>1521649.5893999999</v>
      </c>
      <c r="M398" s="915">
        <v>5273339.7959000003</v>
      </c>
      <c r="N398" s="118" t="s">
        <v>4094</v>
      </c>
      <c r="O398" s="118" t="s">
        <v>61</v>
      </c>
      <c r="P398" s="118" t="s">
        <v>419</v>
      </c>
      <c r="Q398" s="118" t="s">
        <v>4104</v>
      </c>
      <c r="R398" s="76" t="s">
        <v>4108</v>
      </c>
      <c r="S398" s="77" t="s">
        <v>85</v>
      </c>
      <c r="T398" s="847" t="s">
        <v>638</v>
      </c>
      <c r="U398" s="498" t="s">
        <v>4117</v>
      </c>
      <c r="V398" s="498" t="s">
        <v>4116</v>
      </c>
      <c r="W398" s="137" t="s">
        <v>37</v>
      </c>
      <c r="X398" s="139">
        <v>44207</v>
      </c>
      <c r="Y398" s="137"/>
      <c r="Z398" s="358"/>
      <c r="AA398" s="1110"/>
    </row>
    <row r="399" spans="1:27" s="871" customFormat="1" ht="39" x14ac:dyDescent="0.25">
      <c r="A399" s="1038"/>
      <c r="B399" s="571"/>
      <c r="C399" s="67"/>
      <c r="D399" s="580"/>
      <c r="E399" s="580"/>
      <c r="F399" s="143"/>
      <c r="G399" s="75"/>
      <c r="H399" s="75"/>
      <c r="I399" s="121"/>
      <c r="J399" s="188">
        <v>642</v>
      </c>
      <c r="K399" s="76" t="s">
        <v>4086</v>
      </c>
      <c r="L399" s="915">
        <v>1521523.1936999999</v>
      </c>
      <c r="M399" s="915">
        <v>5273313.6089000003</v>
      </c>
      <c r="N399" s="118">
        <v>2.2999999999999998</v>
      </c>
      <c r="O399" s="118" t="s">
        <v>5</v>
      </c>
      <c r="P399" s="118">
        <v>1</v>
      </c>
      <c r="Q399" s="118" t="s">
        <v>4100</v>
      </c>
      <c r="R399" s="76" t="s">
        <v>4111</v>
      </c>
      <c r="S399" s="77" t="s">
        <v>85</v>
      </c>
      <c r="T399" s="847" t="s">
        <v>638</v>
      </c>
      <c r="U399" s="498" t="s">
        <v>4117</v>
      </c>
      <c r="V399" s="498" t="s">
        <v>4116</v>
      </c>
      <c r="W399" s="137" t="s">
        <v>37</v>
      </c>
      <c r="X399" s="139">
        <v>44207</v>
      </c>
      <c r="Y399" s="137"/>
      <c r="Z399" s="358"/>
      <c r="AA399" s="1110"/>
    </row>
    <row r="400" spans="1:27" s="871" customFormat="1" ht="39" x14ac:dyDescent="0.25">
      <c r="A400" s="1038"/>
      <c r="B400" s="571"/>
      <c r="C400" s="67"/>
      <c r="D400" s="580"/>
      <c r="E400" s="580"/>
      <c r="F400" s="143"/>
      <c r="G400" s="75"/>
      <c r="H400" s="75"/>
      <c r="I400" s="121"/>
      <c r="J400" s="188">
        <v>643</v>
      </c>
      <c r="K400" s="76" t="s">
        <v>4088</v>
      </c>
      <c r="L400" s="915">
        <v>1530571.8640000001</v>
      </c>
      <c r="M400" s="915">
        <v>5276886.977</v>
      </c>
      <c r="N400" s="118" t="s">
        <v>4095</v>
      </c>
      <c r="O400" s="118" t="s">
        <v>61</v>
      </c>
      <c r="P400" s="118" t="s">
        <v>419</v>
      </c>
      <c r="Q400" s="118" t="s">
        <v>4105</v>
      </c>
      <c r="R400" s="76" t="s">
        <v>4108</v>
      </c>
      <c r="S400" s="77" t="s">
        <v>85</v>
      </c>
      <c r="T400" s="847" t="s">
        <v>24</v>
      </c>
      <c r="U400" s="498" t="s">
        <v>4117</v>
      </c>
      <c r="V400" s="498" t="s">
        <v>4116</v>
      </c>
      <c r="W400" s="137" t="s">
        <v>37</v>
      </c>
      <c r="X400" s="139">
        <v>44207</v>
      </c>
      <c r="Y400" s="137"/>
      <c r="Z400" s="358"/>
      <c r="AA400" s="1110"/>
    </row>
    <row r="401" spans="1:27" s="871" customFormat="1" ht="39" x14ac:dyDescent="0.25">
      <c r="A401" s="1038"/>
      <c r="B401" s="571"/>
      <c r="C401" s="67"/>
      <c r="D401" s="580"/>
      <c r="E401" s="580"/>
      <c r="F401" s="143"/>
      <c r="G401" s="75"/>
      <c r="H401" s="75"/>
      <c r="I401" s="121"/>
      <c r="J401" s="188">
        <v>644</v>
      </c>
      <c r="K401" s="76" t="s">
        <v>4089</v>
      </c>
      <c r="L401" s="915">
        <v>1530613.6103000001</v>
      </c>
      <c r="M401" s="915">
        <v>5276896.9166000001</v>
      </c>
      <c r="N401" s="118" t="s">
        <v>4096</v>
      </c>
      <c r="O401" s="118" t="s">
        <v>61</v>
      </c>
      <c r="P401" s="118" t="s">
        <v>419</v>
      </c>
      <c r="Q401" s="118" t="s">
        <v>4106</v>
      </c>
      <c r="R401" s="76" t="s">
        <v>4108</v>
      </c>
      <c r="S401" s="77" t="s">
        <v>85</v>
      </c>
      <c r="T401" s="847" t="s">
        <v>24</v>
      </c>
      <c r="U401" s="498" t="s">
        <v>4117</v>
      </c>
      <c r="V401" s="498" t="s">
        <v>4116</v>
      </c>
      <c r="W401" s="137" t="s">
        <v>37</v>
      </c>
      <c r="X401" s="139">
        <v>44207</v>
      </c>
      <c r="Y401" s="137"/>
      <c r="Z401" s="358"/>
      <c r="AA401" s="1110"/>
    </row>
    <row r="402" spans="1:27" s="871" customFormat="1" ht="39" x14ac:dyDescent="0.25">
      <c r="A402" s="1038"/>
      <c r="B402" s="571"/>
      <c r="C402" s="67"/>
      <c r="D402" s="580"/>
      <c r="E402" s="580"/>
      <c r="F402" s="143"/>
      <c r="G402" s="75"/>
      <c r="H402" s="75"/>
      <c r="I402" s="121"/>
      <c r="J402" s="188">
        <v>645</v>
      </c>
      <c r="K402" s="76" t="s">
        <v>4090</v>
      </c>
      <c r="L402" s="915">
        <v>1530449.1897</v>
      </c>
      <c r="M402" s="915">
        <v>5276869.5230999999</v>
      </c>
      <c r="N402" s="118" t="s">
        <v>4097</v>
      </c>
      <c r="O402" s="118" t="s">
        <v>61</v>
      </c>
      <c r="P402" s="118" t="s">
        <v>419</v>
      </c>
      <c r="Q402" s="118" t="s">
        <v>4112</v>
      </c>
      <c r="R402" s="76" t="s">
        <v>4108</v>
      </c>
      <c r="S402" s="77" t="s">
        <v>85</v>
      </c>
      <c r="T402" s="847" t="s">
        <v>24</v>
      </c>
      <c r="U402" s="498" t="s">
        <v>4117</v>
      </c>
      <c r="V402" s="498" t="s">
        <v>4116</v>
      </c>
      <c r="W402" s="137" t="s">
        <v>37</v>
      </c>
      <c r="X402" s="139">
        <v>44207</v>
      </c>
      <c r="Y402" s="137"/>
      <c r="Z402" s="358"/>
      <c r="AA402" s="1110"/>
    </row>
    <row r="403" spans="1:27" s="871" customFormat="1" ht="39.75" thickBot="1" x14ac:dyDescent="0.3">
      <c r="A403" s="1038"/>
      <c r="B403" s="571"/>
      <c r="C403" s="67"/>
      <c r="D403" s="580"/>
      <c r="E403" s="580"/>
      <c r="F403" s="143"/>
      <c r="G403" s="75"/>
      <c r="H403" s="75"/>
      <c r="I403" s="121"/>
      <c r="J403" s="188">
        <v>646</v>
      </c>
      <c r="K403" s="76" t="s">
        <v>4087</v>
      </c>
      <c r="L403" s="915">
        <v>1524321.9844</v>
      </c>
      <c r="M403" s="915">
        <v>5274216.7023</v>
      </c>
      <c r="N403" s="118" t="s">
        <v>4098</v>
      </c>
      <c r="O403" s="118" t="s">
        <v>61</v>
      </c>
      <c r="P403" s="118" t="s">
        <v>419</v>
      </c>
      <c r="Q403" s="118" t="s">
        <v>4107</v>
      </c>
      <c r="R403" s="76" t="s">
        <v>4108</v>
      </c>
      <c r="S403" s="77" t="s">
        <v>85</v>
      </c>
      <c r="T403" s="848" t="s">
        <v>638</v>
      </c>
      <c r="U403" s="500" t="s">
        <v>4117</v>
      </c>
      <c r="V403" s="500" t="s">
        <v>4116</v>
      </c>
      <c r="W403" s="155" t="s">
        <v>37</v>
      </c>
      <c r="X403" s="172">
        <v>44207</v>
      </c>
      <c r="Y403" s="155"/>
      <c r="Z403" s="362"/>
      <c r="AA403" s="1111"/>
    </row>
    <row r="404" spans="1:27" s="871" customFormat="1" ht="27" thickBot="1" x14ac:dyDescent="0.3">
      <c r="A404" s="1038"/>
      <c r="B404" s="571"/>
      <c r="C404" s="67"/>
      <c r="D404" s="580"/>
      <c r="E404" s="580"/>
      <c r="F404" s="143"/>
      <c r="G404" s="75"/>
      <c r="H404" s="75"/>
      <c r="I404" s="121"/>
      <c r="J404" s="87">
        <v>648</v>
      </c>
      <c r="K404" s="360" t="s">
        <v>610</v>
      </c>
      <c r="L404" s="198">
        <v>1520242.0268000001</v>
      </c>
      <c r="M404" s="198">
        <v>5272884.3590000002</v>
      </c>
      <c r="N404" s="199" t="s">
        <v>4123</v>
      </c>
      <c r="O404" s="199" t="s">
        <v>61</v>
      </c>
      <c r="P404" s="199" t="s">
        <v>439</v>
      </c>
      <c r="Q404" s="199" t="s">
        <v>4124</v>
      </c>
      <c r="R404" s="360" t="s">
        <v>4125</v>
      </c>
      <c r="S404" s="88" t="s">
        <v>10</v>
      </c>
      <c r="T404" s="446" t="s">
        <v>4127</v>
      </c>
      <c r="U404" s="208" t="s">
        <v>4126</v>
      </c>
      <c r="V404" s="208" t="s">
        <v>4077</v>
      </c>
      <c r="W404" s="208" t="s">
        <v>37</v>
      </c>
      <c r="X404" s="209">
        <v>44207</v>
      </c>
      <c r="Y404" s="208"/>
      <c r="Z404" s="364"/>
      <c r="AA404" s="1109"/>
    </row>
    <row r="405" spans="1:27" s="871" customFormat="1" ht="64.5" x14ac:dyDescent="0.25">
      <c r="A405" s="1038"/>
      <c r="B405" s="571"/>
      <c r="C405" s="67"/>
      <c r="D405" s="580"/>
      <c r="E405" s="580"/>
      <c r="F405" s="143"/>
      <c r="G405" s="75"/>
      <c r="H405" s="75"/>
      <c r="I405" s="121"/>
      <c r="J405" s="187">
        <v>656</v>
      </c>
      <c r="K405" s="73" t="s">
        <v>4167</v>
      </c>
      <c r="L405" s="914">
        <v>1520519.0404000001</v>
      </c>
      <c r="M405" s="914">
        <v>5272973.2802999998</v>
      </c>
      <c r="N405" s="129" t="s">
        <v>4170</v>
      </c>
      <c r="O405" s="129" t="s">
        <v>5</v>
      </c>
      <c r="P405" s="129">
        <v>3</v>
      </c>
      <c r="Q405" s="129" t="s">
        <v>8993</v>
      </c>
      <c r="R405" s="73" t="s">
        <v>8991</v>
      </c>
      <c r="S405" s="74" t="s">
        <v>10</v>
      </c>
      <c r="T405" s="846" t="s">
        <v>401</v>
      </c>
      <c r="U405" s="499" t="s">
        <v>4175</v>
      </c>
      <c r="V405" s="152" t="s">
        <v>612</v>
      </c>
      <c r="W405" s="152" t="s">
        <v>37</v>
      </c>
      <c r="X405" s="170">
        <v>44208</v>
      </c>
      <c r="Y405" s="152"/>
      <c r="Z405" s="361"/>
      <c r="AA405" s="1112"/>
    </row>
    <row r="406" spans="1:27" s="871" customFormat="1" ht="64.5" x14ac:dyDescent="0.25">
      <c r="A406" s="1038"/>
      <c r="B406" s="571"/>
      <c r="C406" s="67"/>
      <c r="D406" s="580"/>
      <c r="E406" s="580"/>
      <c r="F406" s="143"/>
      <c r="G406" s="75"/>
      <c r="H406" s="75"/>
      <c r="I406" s="121"/>
      <c r="J406" s="188">
        <v>657</v>
      </c>
      <c r="K406" s="76" t="s">
        <v>4168</v>
      </c>
      <c r="L406" s="915">
        <v>1542539.6809</v>
      </c>
      <c r="M406" s="915">
        <v>5281679.7363999998</v>
      </c>
      <c r="N406" s="118" t="s">
        <v>4171</v>
      </c>
      <c r="O406" s="118" t="s">
        <v>5</v>
      </c>
      <c r="P406" s="118">
        <v>1</v>
      </c>
      <c r="Q406" s="118" t="s">
        <v>8992</v>
      </c>
      <c r="R406" s="76" t="s">
        <v>8991</v>
      </c>
      <c r="S406" s="77" t="s">
        <v>10</v>
      </c>
      <c r="T406" s="847" t="s">
        <v>4172</v>
      </c>
      <c r="U406" s="137" t="s">
        <v>4176</v>
      </c>
      <c r="V406" s="137" t="s">
        <v>612</v>
      </c>
      <c r="W406" s="137" t="s">
        <v>37</v>
      </c>
      <c r="X406" s="139">
        <v>44208</v>
      </c>
      <c r="Y406" s="137"/>
      <c r="Z406" s="358"/>
      <c r="AA406" s="1110"/>
    </row>
    <row r="407" spans="1:27" s="871" customFormat="1" ht="65.25" thickBot="1" x14ac:dyDescent="0.3">
      <c r="A407" s="1038"/>
      <c r="B407" s="571"/>
      <c r="C407" s="67"/>
      <c r="D407" s="580"/>
      <c r="E407" s="580"/>
      <c r="F407" s="143"/>
      <c r="G407" s="75"/>
      <c r="H407" s="75"/>
      <c r="I407" s="121"/>
      <c r="J407" s="192">
        <v>658</v>
      </c>
      <c r="K407" s="79" t="s">
        <v>4169</v>
      </c>
      <c r="L407" s="916">
        <v>1542876</v>
      </c>
      <c r="M407" s="916">
        <v>5281817</v>
      </c>
      <c r="N407" s="119" t="s">
        <v>252</v>
      </c>
      <c r="O407" s="119" t="s">
        <v>5</v>
      </c>
      <c r="P407" s="119">
        <v>1</v>
      </c>
      <c r="Q407" s="119" t="s">
        <v>5583</v>
      </c>
      <c r="R407" s="79" t="s">
        <v>8991</v>
      </c>
      <c r="S407" s="80" t="s">
        <v>10</v>
      </c>
      <c r="T407" s="848" t="s">
        <v>341</v>
      </c>
      <c r="U407" s="155" t="s">
        <v>4176</v>
      </c>
      <c r="V407" s="155" t="s">
        <v>612</v>
      </c>
      <c r="W407" s="155" t="s">
        <v>37</v>
      </c>
      <c r="X407" s="172">
        <v>44208</v>
      </c>
      <c r="Y407" s="155"/>
      <c r="Z407" s="362"/>
      <c r="AA407" s="1111"/>
    </row>
    <row r="408" spans="1:27" s="871" customFormat="1" ht="90.75" thickBot="1" x14ac:dyDescent="0.3">
      <c r="A408" s="1047"/>
      <c r="B408" s="323"/>
      <c r="C408" s="69"/>
      <c r="D408" s="857"/>
      <c r="E408" s="857"/>
      <c r="F408" s="144"/>
      <c r="G408" s="78"/>
      <c r="H408" s="78"/>
      <c r="I408" s="429"/>
      <c r="J408" s="87"/>
      <c r="K408" s="360" t="s">
        <v>4173</v>
      </c>
      <c r="L408" s="198"/>
      <c r="M408" s="198"/>
      <c r="N408" s="199" t="s">
        <v>4174</v>
      </c>
      <c r="O408" s="199" t="s">
        <v>5</v>
      </c>
      <c r="P408" s="199">
        <v>21</v>
      </c>
      <c r="Q408" s="199" t="s">
        <v>8990</v>
      </c>
      <c r="R408" s="360" t="s">
        <v>8991</v>
      </c>
      <c r="S408" s="88" t="s">
        <v>10</v>
      </c>
      <c r="T408" s="446" t="s">
        <v>1742</v>
      </c>
      <c r="U408" s="208" t="s">
        <v>4177</v>
      </c>
      <c r="V408" s="155" t="s">
        <v>612</v>
      </c>
      <c r="W408" s="155" t="s">
        <v>37</v>
      </c>
      <c r="X408" s="172">
        <v>44208</v>
      </c>
      <c r="Y408" s="155"/>
      <c r="Z408" s="364"/>
      <c r="AA408" s="1109"/>
    </row>
    <row r="409" spans="1:27" s="871" customFormat="1" ht="39" x14ac:dyDescent="0.25">
      <c r="A409" s="341" t="s">
        <v>641</v>
      </c>
      <c r="B409" s="181" t="s">
        <v>9150</v>
      </c>
      <c r="C409" s="125">
        <v>553</v>
      </c>
      <c r="D409" s="585" t="s">
        <v>53</v>
      </c>
      <c r="E409" s="585" t="s">
        <v>52</v>
      </c>
      <c r="F409" s="125" t="s">
        <v>567</v>
      </c>
      <c r="G409" s="125" t="s">
        <v>1972</v>
      </c>
      <c r="H409" s="125"/>
      <c r="I409" s="247"/>
      <c r="J409" s="189">
        <v>637</v>
      </c>
      <c r="K409" s="355" t="s">
        <v>4081</v>
      </c>
      <c r="L409" s="911">
        <v>1512822.2298000001</v>
      </c>
      <c r="M409" s="911">
        <v>5270762.6398</v>
      </c>
      <c r="N409" s="126" t="s">
        <v>4091</v>
      </c>
      <c r="O409" s="126" t="s">
        <v>61</v>
      </c>
      <c r="P409" s="126" t="s">
        <v>419</v>
      </c>
      <c r="Q409" s="126" t="s">
        <v>4101</v>
      </c>
      <c r="R409" s="355" t="s">
        <v>4109</v>
      </c>
      <c r="S409" s="134" t="s">
        <v>85</v>
      </c>
      <c r="T409" s="846" t="s">
        <v>4113</v>
      </c>
      <c r="U409" s="499" t="s">
        <v>4117</v>
      </c>
      <c r="V409" s="499" t="s">
        <v>4116</v>
      </c>
      <c r="W409" s="152" t="s">
        <v>37</v>
      </c>
      <c r="X409" s="170">
        <v>44207</v>
      </c>
      <c r="Y409" s="152"/>
      <c r="Z409" s="361"/>
      <c r="AA409" s="1112"/>
    </row>
    <row r="410" spans="1:27" s="871" customFormat="1" ht="39.75" thickBot="1" x14ac:dyDescent="0.3">
      <c r="A410" s="636"/>
      <c r="B410" s="315"/>
      <c r="C410" s="261"/>
      <c r="D410" s="581"/>
      <c r="E410" s="581"/>
      <c r="F410" s="147"/>
      <c r="G410" s="96"/>
      <c r="H410" s="96"/>
      <c r="I410" s="123"/>
      <c r="J410" s="190">
        <v>638</v>
      </c>
      <c r="K410" s="357" t="s">
        <v>4082</v>
      </c>
      <c r="L410" s="912">
        <v>1513622.0342000001</v>
      </c>
      <c r="M410" s="912">
        <v>5270962.4901000001</v>
      </c>
      <c r="N410" s="107" t="s">
        <v>4092</v>
      </c>
      <c r="O410" s="107" t="s">
        <v>61</v>
      </c>
      <c r="P410" s="107" t="s">
        <v>419</v>
      </c>
      <c r="Q410" s="107" t="s">
        <v>4102</v>
      </c>
      <c r="R410" s="357" t="s">
        <v>4110</v>
      </c>
      <c r="S410" s="100" t="s">
        <v>85</v>
      </c>
      <c r="T410" s="848" t="s">
        <v>401</v>
      </c>
      <c r="U410" s="500" t="s">
        <v>4117</v>
      </c>
      <c r="V410" s="500" t="s">
        <v>4116</v>
      </c>
      <c r="W410" s="155" t="s">
        <v>37</v>
      </c>
      <c r="X410" s="172">
        <v>44207</v>
      </c>
      <c r="Y410" s="155"/>
      <c r="Z410" s="362"/>
      <c r="AA410" s="1111"/>
    </row>
    <row r="411" spans="1:27" ht="26.25" x14ac:dyDescent="0.25">
      <c r="A411" s="487" t="s">
        <v>8516</v>
      </c>
      <c r="B411" s="128" t="s">
        <v>8516</v>
      </c>
      <c r="C411" s="72">
        <v>630</v>
      </c>
      <c r="D411" s="586" t="s">
        <v>52</v>
      </c>
      <c r="E411" s="586" t="s">
        <v>53</v>
      </c>
      <c r="F411" s="140" t="s">
        <v>8517</v>
      </c>
      <c r="G411" s="72" t="s">
        <v>1973</v>
      </c>
      <c r="H411" s="72"/>
      <c r="I411" s="873"/>
      <c r="J411" s="187">
        <v>5339</v>
      </c>
      <c r="K411" s="65" t="s">
        <v>8480</v>
      </c>
      <c r="L411" s="914">
        <v>1635215.4487000001</v>
      </c>
      <c r="M411" s="914">
        <v>5286649.5356000001</v>
      </c>
      <c r="N411" s="251" t="s">
        <v>8481</v>
      </c>
      <c r="O411" s="251" t="s">
        <v>2761</v>
      </c>
      <c r="P411" s="251" t="s">
        <v>419</v>
      </c>
      <c r="Q411" s="251" t="s">
        <v>8539</v>
      </c>
      <c r="R411" s="73" t="s">
        <v>4329</v>
      </c>
      <c r="S411" s="66" t="s">
        <v>10</v>
      </c>
      <c r="T411" s="891" t="s">
        <v>8482</v>
      </c>
      <c r="U411" s="286" t="s">
        <v>8483</v>
      </c>
      <c r="V411" s="40" t="s">
        <v>8484</v>
      </c>
      <c r="W411" s="40" t="s">
        <v>37</v>
      </c>
      <c r="X411" s="41">
        <v>44391</v>
      </c>
      <c r="Y411" s="1127"/>
      <c r="Z411" s="54"/>
      <c r="AA411" s="652"/>
    </row>
    <row r="412" spans="1:27" ht="39" x14ac:dyDescent="0.25">
      <c r="A412" s="488"/>
      <c r="B412" s="131"/>
      <c r="C412" s="75"/>
      <c r="D412" s="568"/>
      <c r="E412" s="568"/>
      <c r="F412" s="143"/>
      <c r="G412" s="75"/>
      <c r="H412" s="75"/>
      <c r="I412" s="875"/>
      <c r="J412" s="188">
        <v>5340</v>
      </c>
      <c r="K412" s="695" t="s">
        <v>8485</v>
      </c>
      <c r="L412" s="915">
        <v>1635066.9288999999</v>
      </c>
      <c r="M412" s="915">
        <v>5287291.0045999996</v>
      </c>
      <c r="N412" s="67" t="s">
        <v>8486</v>
      </c>
      <c r="O412" s="312" t="s">
        <v>194</v>
      </c>
      <c r="P412" s="67">
        <v>2</v>
      </c>
      <c r="Q412" s="67" t="s">
        <v>8518</v>
      </c>
      <c r="R412" s="76" t="s">
        <v>4329</v>
      </c>
      <c r="S412" s="68" t="s">
        <v>10</v>
      </c>
      <c r="T412" s="892" t="s">
        <v>2882</v>
      </c>
      <c r="U412" s="403" t="s">
        <v>8487</v>
      </c>
      <c r="V412" s="46" t="s">
        <v>8484</v>
      </c>
      <c r="W412" s="46" t="s">
        <v>37</v>
      </c>
      <c r="X412" s="47">
        <v>44391</v>
      </c>
      <c r="Y412" s="1128"/>
      <c r="Z412" s="365"/>
      <c r="AA412" s="1107"/>
    </row>
    <row r="413" spans="1:27" ht="26.25" x14ac:dyDescent="0.25">
      <c r="A413" s="488"/>
      <c r="B413" s="131"/>
      <c r="C413" s="75"/>
      <c r="D413" s="568"/>
      <c r="E413" s="568"/>
      <c r="F413" s="143"/>
      <c r="G413" s="75"/>
      <c r="H413" s="75"/>
      <c r="I413" s="875"/>
      <c r="J413" s="188">
        <v>5341</v>
      </c>
      <c r="K413" s="695" t="s">
        <v>8488</v>
      </c>
      <c r="L413" s="915">
        <v>1637773.4413000001</v>
      </c>
      <c r="M413" s="915">
        <v>5289742.5409000004</v>
      </c>
      <c r="N413" s="312" t="s">
        <v>8489</v>
      </c>
      <c r="O413" s="312" t="s">
        <v>8446</v>
      </c>
      <c r="P413" s="312" t="s">
        <v>419</v>
      </c>
      <c r="Q413" s="312" t="s">
        <v>8529</v>
      </c>
      <c r="R413" s="76" t="s">
        <v>4329</v>
      </c>
      <c r="S413" s="68" t="s">
        <v>10</v>
      </c>
      <c r="T413" s="892" t="s">
        <v>8490</v>
      </c>
      <c r="U413" s="403" t="s">
        <v>8491</v>
      </c>
      <c r="V413" s="46" t="s">
        <v>8484</v>
      </c>
      <c r="W413" s="46" t="s">
        <v>37</v>
      </c>
      <c r="X413" s="47">
        <v>44391</v>
      </c>
      <c r="Y413" s="1128"/>
      <c r="Z413" s="365"/>
      <c r="AA413" s="1107"/>
    </row>
    <row r="414" spans="1:27" ht="26.25" x14ac:dyDescent="0.25">
      <c r="A414" s="488"/>
      <c r="B414" s="131"/>
      <c r="C414" s="75"/>
      <c r="D414" s="568"/>
      <c r="E414" s="568"/>
      <c r="F414" s="143"/>
      <c r="G414" s="75"/>
      <c r="H414" s="75"/>
      <c r="I414" s="875"/>
      <c r="J414" s="188">
        <v>5342</v>
      </c>
      <c r="K414" s="695" t="s">
        <v>9190</v>
      </c>
      <c r="L414" s="915">
        <v>1637986.5029</v>
      </c>
      <c r="M414" s="915">
        <v>5290536.5596000003</v>
      </c>
      <c r="N414" s="312" t="s">
        <v>8492</v>
      </c>
      <c r="O414" s="312" t="s">
        <v>8446</v>
      </c>
      <c r="P414" s="312" t="s">
        <v>419</v>
      </c>
      <c r="Q414" s="312" t="s">
        <v>8523</v>
      </c>
      <c r="R414" s="76" t="s">
        <v>4329</v>
      </c>
      <c r="S414" s="68" t="s">
        <v>10</v>
      </c>
      <c r="T414" s="892" t="s">
        <v>4131</v>
      </c>
      <c r="U414" s="403" t="s">
        <v>8491</v>
      </c>
      <c r="V414" s="46" t="s">
        <v>8484</v>
      </c>
      <c r="W414" s="46" t="s">
        <v>37</v>
      </c>
      <c r="X414" s="47">
        <v>44391</v>
      </c>
      <c r="Y414" s="1128"/>
      <c r="Z414" s="365"/>
      <c r="AA414" s="1107"/>
    </row>
    <row r="415" spans="1:27" ht="26.25" x14ac:dyDescent="0.25">
      <c r="A415" s="488"/>
      <c r="B415" s="131"/>
      <c r="C415" s="75"/>
      <c r="D415" s="568"/>
      <c r="E415" s="568"/>
      <c r="F415" s="143"/>
      <c r="G415" s="75"/>
      <c r="H415" s="75"/>
      <c r="I415" s="875"/>
      <c r="J415" s="188">
        <v>5343</v>
      </c>
      <c r="K415" s="695" t="s">
        <v>9191</v>
      </c>
      <c r="L415" s="915">
        <v>1638165.446</v>
      </c>
      <c r="M415" s="915">
        <v>5290701.5898000002</v>
      </c>
      <c r="N415" s="312" t="s">
        <v>8493</v>
      </c>
      <c r="O415" s="312" t="s">
        <v>8446</v>
      </c>
      <c r="P415" s="312" t="s">
        <v>419</v>
      </c>
      <c r="Q415" s="312" t="s">
        <v>8530</v>
      </c>
      <c r="R415" s="76" t="s">
        <v>4329</v>
      </c>
      <c r="S415" s="68" t="s">
        <v>10</v>
      </c>
      <c r="T415" s="892" t="s">
        <v>4131</v>
      </c>
      <c r="U415" s="403" t="s">
        <v>8491</v>
      </c>
      <c r="V415" s="46" t="s">
        <v>8484</v>
      </c>
      <c r="W415" s="46" t="s">
        <v>37</v>
      </c>
      <c r="X415" s="47">
        <v>44391</v>
      </c>
      <c r="Y415" s="1128"/>
      <c r="Z415" s="365"/>
      <c r="AA415" s="1107"/>
    </row>
    <row r="416" spans="1:27" ht="26.25" x14ac:dyDescent="0.25">
      <c r="A416" s="488"/>
      <c r="B416" s="131"/>
      <c r="C416" s="75"/>
      <c r="D416" s="568"/>
      <c r="E416" s="568"/>
      <c r="F416" s="143"/>
      <c r="G416" s="75"/>
      <c r="H416" s="75"/>
      <c r="I416" s="875"/>
      <c r="J416" s="188">
        <v>5344</v>
      </c>
      <c r="K416" s="695" t="s">
        <v>9192</v>
      </c>
      <c r="L416" s="915">
        <v>1638297.5203</v>
      </c>
      <c r="M416" s="915">
        <v>5290869.5384</v>
      </c>
      <c r="N416" s="312" t="s">
        <v>8494</v>
      </c>
      <c r="O416" s="312" t="s">
        <v>8446</v>
      </c>
      <c r="P416" s="312" t="s">
        <v>419</v>
      </c>
      <c r="Q416" s="312" t="s">
        <v>8531</v>
      </c>
      <c r="R416" s="76" t="s">
        <v>4329</v>
      </c>
      <c r="S416" s="68" t="s">
        <v>10</v>
      </c>
      <c r="T416" s="892" t="s">
        <v>8495</v>
      </c>
      <c r="U416" s="403" t="s">
        <v>8491</v>
      </c>
      <c r="V416" s="46" t="s">
        <v>8484</v>
      </c>
      <c r="W416" s="46" t="s">
        <v>37</v>
      </c>
      <c r="X416" s="47">
        <v>44391</v>
      </c>
      <c r="Y416" s="1128"/>
      <c r="Z416" s="365"/>
      <c r="AA416" s="1107"/>
    </row>
    <row r="417" spans="1:27" ht="26.25" x14ac:dyDescent="0.25">
      <c r="A417" s="488"/>
      <c r="B417" s="131"/>
      <c r="C417" s="75"/>
      <c r="D417" s="568"/>
      <c r="E417" s="568"/>
      <c r="F417" s="143"/>
      <c r="G417" s="75"/>
      <c r="H417" s="75"/>
      <c r="I417" s="875"/>
      <c r="J417" s="188">
        <v>5345</v>
      </c>
      <c r="K417" s="695" t="s">
        <v>9193</v>
      </c>
      <c r="L417" s="915">
        <v>1638318.5020000001</v>
      </c>
      <c r="M417" s="915">
        <v>5290906.6222999999</v>
      </c>
      <c r="N417" s="312" t="s">
        <v>8496</v>
      </c>
      <c r="O417" s="312" t="s">
        <v>8446</v>
      </c>
      <c r="P417" s="312" t="s">
        <v>419</v>
      </c>
      <c r="Q417" s="312" t="s">
        <v>6358</v>
      </c>
      <c r="R417" s="76" t="s">
        <v>4329</v>
      </c>
      <c r="S417" s="68" t="s">
        <v>10</v>
      </c>
      <c r="T417" s="892" t="s">
        <v>8497</v>
      </c>
      <c r="U417" s="403" t="s">
        <v>8491</v>
      </c>
      <c r="V417" s="46" t="s">
        <v>8484</v>
      </c>
      <c r="W417" s="46" t="s">
        <v>37</v>
      </c>
      <c r="X417" s="47">
        <v>44391</v>
      </c>
      <c r="Y417" s="1128"/>
      <c r="Z417" s="365"/>
      <c r="AA417" s="1107"/>
    </row>
    <row r="418" spans="1:27" ht="39" x14ac:dyDescent="0.25">
      <c r="A418" s="488"/>
      <c r="B418" s="131"/>
      <c r="C418" s="75"/>
      <c r="D418" s="568"/>
      <c r="E418" s="568"/>
      <c r="F418" s="143"/>
      <c r="G418" s="75"/>
      <c r="H418" s="75"/>
      <c r="I418" s="875"/>
      <c r="J418" s="188">
        <v>5346</v>
      </c>
      <c r="K418" s="695" t="s">
        <v>9194</v>
      </c>
      <c r="L418" s="915">
        <v>1638457.5061000001</v>
      </c>
      <c r="M418" s="915">
        <v>5291658.6151999999</v>
      </c>
      <c r="N418" s="312" t="s">
        <v>8498</v>
      </c>
      <c r="O418" s="312" t="s">
        <v>8446</v>
      </c>
      <c r="P418" s="312" t="s">
        <v>440</v>
      </c>
      <c r="Q418" s="312" t="s">
        <v>8532</v>
      </c>
      <c r="R418" s="76" t="s">
        <v>4329</v>
      </c>
      <c r="S418" s="68" t="s">
        <v>10</v>
      </c>
      <c r="T418" s="892" t="s">
        <v>8412</v>
      </c>
      <c r="U418" s="403" t="s">
        <v>8487</v>
      </c>
      <c r="V418" s="46" t="s">
        <v>8484</v>
      </c>
      <c r="W418" s="46" t="s">
        <v>37</v>
      </c>
      <c r="X418" s="47">
        <v>44391</v>
      </c>
      <c r="Y418" s="1128"/>
      <c r="Z418" s="365"/>
      <c r="AA418" s="1107"/>
    </row>
    <row r="419" spans="1:27" ht="26.25" x14ac:dyDescent="0.25">
      <c r="A419" s="488"/>
      <c r="B419" s="131"/>
      <c r="C419" s="75"/>
      <c r="D419" s="568"/>
      <c r="E419" s="568"/>
      <c r="F419" s="143"/>
      <c r="G419" s="75"/>
      <c r="H419" s="75"/>
      <c r="I419" s="875"/>
      <c r="J419" s="188">
        <v>5347</v>
      </c>
      <c r="K419" s="695" t="s">
        <v>9195</v>
      </c>
      <c r="L419" s="915">
        <v>1638458.4937</v>
      </c>
      <c r="M419" s="915">
        <v>5291703.5821000002</v>
      </c>
      <c r="N419" s="312" t="s">
        <v>8499</v>
      </c>
      <c r="O419" s="312" t="s">
        <v>8446</v>
      </c>
      <c r="P419" s="312" t="s">
        <v>419</v>
      </c>
      <c r="Q419" s="312" t="s">
        <v>8533</v>
      </c>
      <c r="R419" s="76" t="s">
        <v>4329</v>
      </c>
      <c r="S419" s="68" t="s">
        <v>10</v>
      </c>
      <c r="T419" s="892" t="s">
        <v>4131</v>
      </c>
      <c r="U419" s="403" t="s">
        <v>8491</v>
      </c>
      <c r="V419" s="46" t="s">
        <v>8484</v>
      </c>
      <c r="W419" s="46" t="s">
        <v>37</v>
      </c>
      <c r="X419" s="47">
        <v>44391</v>
      </c>
      <c r="Y419" s="1128"/>
      <c r="Z419" s="365"/>
      <c r="AA419" s="1107"/>
    </row>
    <row r="420" spans="1:27" ht="26.25" x14ac:dyDescent="0.25">
      <c r="A420" s="488"/>
      <c r="B420" s="131"/>
      <c r="C420" s="75"/>
      <c r="D420" s="568"/>
      <c r="E420" s="568"/>
      <c r="F420" s="143"/>
      <c r="G420" s="75"/>
      <c r="H420" s="75"/>
      <c r="I420" s="875"/>
      <c r="J420" s="188">
        <v>5348</v>
      </c>
      <c r="K420" s="695" t="s">
        <v>8500</v>
      </c>
      <c r="L420" s="915">
        <v>1638884.4771</v>
      </c>
      <c r="M420" s="915">
        <v>5291753.5170999998</v>
      </c>
      <c r="N420" s="67" t="s">
        <v>8414</v>
      </c>
      <c r="O420" s="67" t="s">
        <v>194</v>
      </c>
      <c r="P420" s="67">
        <v>1</v>
      </c>
      <c r="Q420" s="67" t="s">
        <v>8519</v>
      </c>
      <c r="R420" s="76" t="s">
        <v>4329</v>
      </c>
      <c r="S420" s="68" t="s">
        <v>10</v>
      </c>
      <c r="T420" s="892" t="s">
        <v>2882</v>
      </c>
      <c r="U420" s="403" t="s">
        <v>8491</v>
      </c>
      <c r="V420" s="46" t="s">
        <v>8484</v>
      </c>
      <c r="W420" s="46" t="s">
        <v>37</v>
      </c>
      <c r="X420" s="47">
        <v>44391</v>
      </c>
      <c r="Y420" s="1128"/>
      <c r="Z420" s="365"/>
      <c r="AA420" s="1107"/>
    </row>
    <row r="421" spans="1:27" ht="26.25" x14ac:dyDescent="0.25">
      <c r="A421" s="488"/>
      <c r="B421" s="131"/>
      <c r="C421" s="75"/>
      <c r="D421" s="568"/>
      <c r="E421" s="568"/>
      <c r="F421" s="143"/>
      <c r="G421" s="75"/>
      <c r="H421" s="75"/>
      <c r="I421" s="875"/>
      <c r="J421" s="188">
        <v>5349</v>
      </c>
      <c r="K421" s="695" t="s">
        <v>9196</v>
      </c>
      <c r="L421" s="915">
        <v>1639065.4674</v>
      </c>
      <c r="M421" s="915">
        <v>5291849.5553000001</v>
      </c>
      <c r="N421" s="67" t="s">
        <v>2821</v>
      </c>
      <c r="O421" s="67" t="s">
        <v>194</v>
      </c>
      <c r="P421" s="67">
        <v>1</v>
      </c>
      <c r="Q421" s="67" t="s">
        <v>8522</v>
      </c>
      <c r="R421" s="76" t="s">
        <v>4329</v>
      </c>
      <c r="S421" s="68" t="s">
        <v>10</v>
      </c>
      <c r="T421" s="892" t="s">
        <v>8412</v>
      </c>
      <c r="U421" s="403" t="s">
        <v>8491</v>
      </c>
      <c r="V421" s="46" t="s">
        <v>8484</v>
      </c>
      <c r="W421" s="46" t="s">
        <v>37</v>
      </c>
      <c r="X421" s="47">
        <v>44391</v>
      </c>
      <c r="Y421" s="1128"/>
      <c r="Z421" s="365"/>
      <c r="AA421" s="1107"/>
    </row>
    <row r="422" spans="1:27" ht="26.25" x14ac:dyDescent="0.25">
      <c r="A422" s="488"/>
      <c r="B422" s="131"/>
      <c r="C422" s="75"/>
      <c r="D422" s="568"/>
      <c r="E422" s="568"/>
      <c r="F422" s="143"/>
      <c r="G422" s="75"/>
      <c r="H422" s="75"/>
      <c r="I422" s="875"/>
      <c r="J422" s="188">
        <v>5350</v>
      </c>
      <c r="K422" s="695" t="s">
        <v>9197</v>
      </c>
      <c r="L422" s="915">
        <v>1639083.4476999999</v>
      </c>
      <c r="M422" s="915">
        <v>5291950.6145000001</v>
      </c>
      <c r="N422" s="312" t="s">
        <v>8501</v>
      </c>
      <c r="O422" s="312" t="s">
        <v>8446</v>
      </c>
      <c r="P422" s="312" t="s">
        <v>419</v>
      </c>
      <c r="Q422" s="312" t="s">
        <v>8521</v>
      </c>
      <c r="R422" s="76" t="s">
        <v>4329</v>
      </c>
      <c r="S422" s="68" t="s">
        <v>10</v>
      </c>
      <c r="T422" s="892" t="s">
        <v>8490</v>
      </c>
      <c r="U422" s="403" t="s">
        <v>8491</v>
      </c>
      <c r="V422" s="46" t="s">
        <v>8484</v>
      </c>
      <c r="W422" s="46" t="s">
        <v>37</v>
      </c>
      <c r="X422" s="47">
        <v>44391</v>
      </c>
      <c r="Y422" s="1128"/>
      <c r="Z422" s="365"/>
      <c r="AA422" s="1107"/>
    </row>
    <row r="423" spans="1:27" ht="26.25" x14ac:dyDescent="0.25">
      <c r="A423" s="488"/>
      <c r="B423" s="131"/>
      <c r="C423" s="75"/>
      <c r="D423" s="568"/>
      <c r="E423" s="568"/>
      <c r="F423" s="143"/>
      <c r="G423" s="75"/>
      <c r="H423" s="75"/>
      <c r="I423" s="875"/>
      <c r="J423" s="188">
        <v>5351</v>
      </c>
      <c r="K423" s="695" t="s">
        <v>8502</v>
      </c>
      <c r="L423" s="915">
        <v>1639213.4465999999</v>
      </c>
      <c r="M423" s="915">
        <v>5292106.5650000004</v>
      </c>
      <c r="N423" s="67" t="s">
        <v>1075</v>
      </c>
      <c r="O423" s="67" t="s">
        <v>194</v>
      </c>
      <c r="P423" s="67">
        <v>1</v>
      </c>
      <c r="Q423" s="67" t="s">
        <v>8523</v>
      </c>
      <c r="R423" s="76" t="s">
        <v>4329</v>
      </c>
      <c r="S423" s="68" t="s">
        <v>10</v>
      </c>
      <c r="T423" s="892" t="s">
        <v>2882</v>
      </c>
      <c r="U423" s="403" t="s">
        <v>8491</v>
      </c>
      <c r="V423" s="46" t="s">
        <v>8484</v>
      </c>
      <c r="W423" s="46" t="s">
        <v>37</v>
      </c>
      <c r="X423" s="47">
        <v>44391</v>
      </c>
      <c r="Y423" s="1128"/>
      <c r="Z423" s="365"/>
      <c r="AA423" s="1107"/>
    </row>
    <row r="424" spans="1:27" ht="39" x14ac:dyDescent="0.25">
      <c r="A424" s="488"/>
      <c r="B424" s="131"/>
      <c r="C424" s="75"/>
      <c r="D424" s="568"/>
      <c r="E424" s="568"/>
      <c r="F424" s="143"/>
      <c r="G424" s="75"/>
      <c r="H424" s="75"/>
      <c r="I424" s="875"/>
      <c r="J424" s="188">
        <v>5352</v>
      </c>
      <c r="K424" s="695" t="s">
        <v>9198</v>
      </c>
      <c r="L424" s="915">
        <v>1638911.4775</v>
      </c>
      <c r="M424" s="915">
        <v>5292528.5559999999</v>
      </c>
      <c r="N424" s="67" t="s">
        <v>8541</v>
      </c>
      <c r="O424" s="67" t="s">
        <v>194</v>
      </c>
      <c r="P424" s="67">
        <v>2</v>
      </c>
      <c r="Q424" s="67" t="s">
        <v>8540</v>
      </c>
      <c r="R424" s="76" t="s">
        <v>4329</v>
      </c>
      <c r="S424" s="68" t="s">
        <v>10</v>
      </c>
      <c r="T424" s="892" t="s">
        <v>8490</v>
      </c>
      <c r="U424" s="403" t="s">
        <v>8487</v>
      </c>
      <c r="V424" s="46" t="s">
        <v>8484</v>
      </c>
      <c r="W424" s="46" t="s">
        <v>37</v>
      </c>
      <c r="X424" s="47">
        <v>44391</v>
      </c>
      <c r="Y424" s="1128"/>
      <c r="Z424" s="365"/>
      <c r="AA424" s="1107"/>
    </row>
    <row r="425" spans="1:27" ht="39" x14ac:dyDescent="0.25">
      <c r="A425" s="488"/>
      <c r="B425" s="131"/>
      <c r="C425" s="75"/>
      <c r="D425" s="568"/>
      <c r="E425" s="568"/>
      <c r="F425" s="143"/>
      <c r="G425" s="75"/>
      <c r="H425" s="75"/>
      <c r="I425" s="875"/>
      <c r="J425" s="188">
        <v>5353</v>
      </c>
      <c r="K425" s="695" t="s">
        <v>9199</v>
      </c>
      <c r="L425" s="915">
        <v>1638938.4716</v>
      </c>
      <c r="M425" s="915">
        <v>5292537.6217</v>
      </c>
      <c r="N425" s="67" t="s">
        <v>4500</v>
      </c>
      <c r="O425" s="67" t="s">
        <v>194</v>
      </c>
      <c r="P425" s="67">
        <v>2</v>
      </c>
      <c r="Q425" s="67" t="s">
        <v>8524</v>
      </c>
      <c r="R425" s="76" t="s">
        <v>4329</v>
      </c>
      <c r="S425" s="68" t="s">
        <v>10</v>
      </c>
      <c r="T425" s="892" t="s">
        <v>2882</v>
      </c>
      <c r="U425" s="403" t="s">
        <v>8487</v>
      </c>
      <c r="V425" s="46" t="s">
        <v>8484</v>
      </c>
      <c r="W425" s="46" t="s">
        <v>37</v>
      </c>
      <c r="X425" s="47">
        <v>44391</v>
      </c>
      <c r="Y425" s="1128"/>
      <c r="Z425" s="365"/>
      <c r="AA425" s="1107"/>
    </row>
    <row r="426" spans="1:27" ht="39" x14ac:dyDescent="0.25">
      <c r="A426" s="488"/>
      <c r="B426" s="131"/>
      <c r="C426" s="75"/>
      <c r="D426" s="568"/>
      <c r="E426" s="568"/>
      <c r="F426" s="143"/>
      <c r="G426" s="75"/>
      <c r="H426" s="75"/>
      <c r="I426" s="875"/>
      <c r="J426" s="188">
        <v>5354</v>
      </c>
      <c r="K426" s="695" t="s">
        <v>9200</v>
      </c>
      <c r="L426" s="915">
        <v>1638959.4576000001</v>
      </c>
      <c r="M426" s="915">
        <v>5292544.6109999996</v>
      </c>
      <c r="N426" s="75" t="s">
        <v>8336</v>
      </c>
      <c r="O426" s="67" t="s">
        <v>2086</v>
      </c>
      <c r="P426" s="67">
        <v>2</v>
      </c>
      <c r="Q426" s="75" t="s">
        <v>8542</v>
      </c>
      <c r="R426" s="76" t="s">
        <v>4329</v>
      </c>
      <c r="S426" s="68" t="s">
        <v>10</v>
      </c>
      <c r="T426" s="892" t="s">
        <v>4131</v>
      </c>
      <c r="U426" s="403" t="s">
        <v>8503</v>
      </c>
      <c r="V426" s="46" t="s">
        <v>8484</v>
      </c>
      <c r="W426" s="46" t="s">
        <v>37</v>
      </c>
      <c r="X426" s="47">
        <v>44391</v>
      </c>
      <c r="Y426" s="1128"/>
      <c r="Z426" s="365"/>
      <c r="AA426" s="1107"/>
    </row>
    <row r="427" spans="1:27" ht="39" x14ac:dyDescent="0.25">
      <c r="A427" s="488"/>
      <c r="B427" s="131"/>
      <c r="C427" s="75"/>
      <c r="D427" s="568"/>
      <c r="E427" s="568"/>
      <c r="F427" s="143"/>
      <c r="G427" s="75"/>
      <c r="H427" s="75"/>
      <c r="I427" s="875"/>
      <c r="J427" s="188">
        <v>5355</v>
      </c>
      <c r="K427" s="695" t="s">
        <v>9201</v>
      </c>
      <c r="L427" s="915">
        <v>1639015.4728999999</v>
      </c>
      <c r="M427" s="915">
        <v>5292572.6133000003</v>
      </c>
      <c r="N427" s="67" t="s">
        <v>8504</v>
      </c>
      <c r="O427" s="67" t="s">
        <v>194</v>
      </c>
      <c r="P427" s="67">
        <v>3</v>
      </c>
      <c r="Q427" s="67" t="s">
        <v>8525</v>
      </c>
      <c r="R427" s="76" t="s">
        <v>4329</v>
      </c>
      <c r="S427" s="68" t="s">
        <v>10</v>
      </c>
      <c r="T427" s="892" t="s">
        <v>2882</v>
      </c>
      <c r="U427" s="403" t="s">
        <v>8505</v>
      </c>
      <c r="V427" s="46" t="s">
        <v>8484</v>
      </c>
      <c r="W427" s="46" t="s">
        <v>37</v>
      </c>
      <c r="X427" s="47">
        <v>44391</v>
      </c>
      <c r="Y427" s="1128"/>
      <c r="Z427" s="365"/>
      <c r="AA427" s="1107"/>
    </row>
    <row r="428" spans="1:27" ht="39" x14ac:dyDescent="0.25">
      <c r="A428" s="488"/>
      <c r="B428" s="131"/>
      <c r="C428" s="75"/>
      <c r="D428" s="568"/>
      <c r="E428" s="568"/>
      <c r="F428" s="143"/>
      <c r="G428" s="75"/>
      <c r="H428" s="75"/>
      <c r="I428" s="875"/>
      <c r="J428" s="188">
        <v>5356</v>
      </c>
      <c r="K428" s="695" t="s">
        <v>9202</v>
      </c>
      <c r="L428" s="915">
        <v>1639049.4656</v>
      </c>
      <c r="M428" s="915">
        <v>5292584.5264999997</v>
      </c>
      <c r="N428" s="67" t="s">
        <v>4501</v>
      </c>
      <c r="O428" s="67" t="s">
        <v>194</v>
      </c>
      <c r="P428" s="67">
        <v>1</v>
      </c>
      <c r="Q428" s="67" t="s">
        <v>8526</v>
      </c>
      <c r="R428" s="76" t="s">
        <v>4329</v>
      </c>
      <c r="S428" s="68" t="s">
        <v>10</v>
      </c>
      <c r="T428" s="892" t="s">
        <v>2882</v>
      </c>
      <c r="U428" s="403" t="s">
        <v>8487</v>
      </c>
      <c r="V428" s="46" t="s">
        <v>8484</v>
      </c>
      <c r="W428" s="46" t="s">
        <v>37</v>
      </c>
      <c r="X428" s="47">
        <v>44391</v>
      </c>
      <c r="Y428" s="1128"/>
      <c r="Z428" s="365"/>
      <c r="AA428" s="1107"/>
    </row>
    <row r="429" spans="1:27" ht="26.25" x14ac:dyDescent="0.25">
      <c r="A429" s="488"/>
      <c r="B429" s="131"/>
      <c r="C429" s="75"/>
      <c r="D429" s="568"/>
      <c r="E429" s="568"/>
      <c r="F429" s="143"/>
      <c r="G429" s="75"/>
      <c r="H429" s="75"/>
      <c r="I429" s="875"/>
      <c r="J429" s="188">
        <v>5357</v>
      </c>
      <c r="K429" s="695" t="s">
        <v>9203</v>
      </c>
      <c r="L429" s="915">
        <v>1640321.5182</v>
      </c>
      <c r="M429" s="915">
        <v>5292561.6201999998</v>
      </c>
      <c r="N429" s="312" t="s">
        <v>8506</v>
      </c>
      <c r="O429" s="312" t="s">
        <v>2761</v>
      </c>
      <c r="P429" s="312" t="s">
        <v>419</v>
      </c>
      <c r="Q429" s="312" t="s">
        <v>8534</v>
      </c>
      <c r="R429" s="76" t="s">
        <v>4329</v>
      </c>
      <c r="S429" s="68" t="s">
        <v>10</v>
      </c>
      <c r="T429" s="892" t="s">
        <v>4131</v>
      </c>
      <c r="U429" s="403" t="s">
        <v>8483</v>
      </c>
      <c r="V429" s="46" t="s">
        <v>8484</v>
      </c>
      <c r="W429" s="46" t="s">
        <v>37</v>
      </c>
      <c r="X429" s="47">
        <v>44391</v>
      </c>
      <c r="Y429" s="1128"/>
      <c r="Z429" s="365"/>
      <c r="AA429" s="1107"/>
    </row>
    <row r="430" spans="1:27" ht="26.25" x14ac:dyDescent="0.25">
      <c r="A430" s="488"/>
      <c r="B430" s="131"/>
      <c r="C430" s="75"/>
      <c r="D430" s="568"/>
      <c r="E430" s="568"/>
      <c r="F430" s="143"/>
      <c r="G430" s="75"/>
      <c r="H430" s="75"/>
      <c r="I430" s="875"/>
      <c r="J430" s="188">
        <v>5358</v>
      </c>
      <c r="K430" s="695" t="s">
        <v>9204</v>
      </c>
      <c r="L430" s="915">
        <v>1640530.5119</v>
      </c>
      <c r="M430" s="915">
        <v>5292705.5401999997</v>
      </c>
      <c r="N430" s="312" t="s">
        <v>8507</v>
      </c>
      <c r="O430" s="312" t="s">
        <v>2761</v>
      </c>
      <c r="P430" s="312" t="s">
        <v>419</v>
      </c>
      <c r="Q430" s="312" t="s">
        <v>8527</v>
      </c>
      <c r="R430" s="76" t="s">
        <v>4329</v>
      </c>
      <c r="S430" s="68" t="s">
        <v>10</v>
      </c>
      <c r="T430" s="892" t="s">
        <v>4131</v>
      </c>
      <c r="U430" s="403" t="s">
        <v>8491</v>
      </c>
      <c r="V430" s="46" t="s">
        <v>8484</v>
      </c>
      <c r="W430" s="46" t="s">
        <v>37</v>
      </c>
      <c r="X430" s="47">
        <v>44391</v>
      </c>
      <c r="Y430" s="1128"/>
      <c r="Z430" s="365"/>
      <c r="AA430" s="1107"/>
    </row>
    <row r="431" spans="1:27" ht="26.25" x14ac:dyDescent="0.25">
      <c r="A431" s="488"/>
      <c r="B431" s="131"/>
      <c r="C431" s="75"/>
      <c r="D431" s="568"/>
      <c r="E431" s="568"/>
      <c r="F431" s="143"/>
      <c r="G431" s="75"/>
      <c r="H431" s="75"/>
      <c r="I431" s="875"/>
      <c r="J431" s="188">
        <v>5359</v>
      </c>
      <c r="K431" s="695" t="s">
        <v>9205</v>
      </c>
      <c r="L431" s="915">
        <v>1640261.4624999999</v>
      </c>
      <c r="M431" s="915">
        <v>5292986.5959000001</v>
      </c>
      <c r="N431" s="67" t="s">
        <v>8508</v>
      </c>
      <c r="O431" s="67" t="s">
        <v>194</v>
      </c>
      <c r="P431" s="67">
        <v>1</v>
      </c>
      <c r="Q431" s="67" t="s">
        <v>8520</v>
      </c>
      <c r="R431" s="76" t="s">
        <v>4329</v>
      </c>
      <c r="S431" s="68" t="s">
        <v>10</v>
      </c>
      <c r="T431" s="892" t="s">
        <v>8412</v>
      </c>
      <c r="U431" s="403" t="s">
        <v>8491</v>
      </c>
      <c r="V431" s="46" t="s">
        <v>8484</v>
      </c>
      <c r="W431" s="46" t="s">
        <v>37</v>
      </c>
      <c r="X431" s="47">
        <v>44391</v>
      </c>
      <c r="Y431" s="1128"/>
      <c r="Z431" s="365"/>
      <c r="AA431" s="1107"/>
    </row>
    <row r="432" spans="1:27" ht="26.25" x14ac:dyDescent="0.25">
      <c r="A432" s="488"/>
      <c r="B432" s="131"/>
      <c r="C432" s="75"/>
      <c r="D432" s="568"/>
      <c r="E432" s="568"/>
      <c r="F432" s="143"/>
      <c r="G432" s="75"/>
      <c r="H432" s="75"/>
      <c r="I432" s="875"/>
      <c r="J432" s="188">
        <v>5360</v>
      </c>
      <c r="K432" s="695" t="s">
        <v>9206</v>
      </c>
      <c r="L432" s="915">
        <v>1640613.5074</v>
      </c>
      <c r="M432" s="915">
        <v>5293259.6053999998</v>
      </c>
      <c r="N432" s="67" t="s">
        <v>3164</v>
      </c>
      <c r="O432" s="67" t="s">
        <v>194</v>
      </c>
      <c r="P432" s="67">
        <v>1</v>
      </c>
      <c r="Q432" s="67" t="s">
        <v>5819</v>
      </c>
      <c r="R432" s="76" t="s">
        <v>4329</v>
      </c>
      <c r="S432" s="68" t="s">
        <v>10</v>
      </c>
      <c r="T432" s="892" t="s">
        <v>8509</v>
      </c>
      <c r="U432" s="403" t="s">
        <v>8491</v>
      </c>
      <c r="V432" s="46" t="s">
        <v>8484</v>
      </c>
      <c r="W432" s="46" t="s">
        <v>37</v>
      </c>
      <c r="X432" s="47">
        <v>44391</v>
      </c>
      <c r="Y432" s="1128"/>
      <c r="Z432" s="365"/>
      <c r="AA432" s="1107"/>
    </row>
    <row r="433" spans="1:27" ht="26.25" x14ac:dyDescent="0.25">
      <c r="A433" s="488"/>
      <c r="B433" s="131"/>
      <c r="C433" s="75"/>
      <c r="D433" s="568"/>
      <c r="E433" s="568"/>
      <c r="F433" s="143"/>
      <c r="G433" s="75"/>
      <c r="H433" s="75"/>
      <c r="I433" s="875"/>
      <c r="J433" s="188">
        <v>5361</v>
      </c>
      <c r="K433" s="695" t="s">
        <v>9207</v>
      </c>
      <c r="L433" s="915">
        <v>1640888.4637</v>
      </c>
      <c r="M433" s="915">
        <v>5293397.5778000001</v>
      </c>
      <c r="N433" s="312" t="s">
        <v>8510</v>
      </c>
      <c r="O433" s="312" t="s">
        <v>2761</v>
      </c>
      <c r="P433" s="312" t="s">
        <v>419</v>
      </c>
      <c r="Q433" s="312" t="s">
        <v>8535</v>
      </c>
      <c r="R433" s="76" t="s">
        <v>4329</v>
      </c>
      <c r="S433" s="68" t="s">
        <v>10</v>
      </c>
      <c r="T433" s="892" t="s">
        <v>8412</v>
      </c>
      <c r="U433" s="403" t="s">
        <v>8491</v>
      </c>
      <c r="V433" s="46" t="s">
        <v>8484</v>
      </c>
      <c r="W433" s="46" t="s">
        <v>37</v>
      </c>
      <c r="X433" s="47">
        <v>44391</v>
      </c>
      <c r="Y433" s="1128"/>
      <c r="Z433" s="365"/>
      <c r="AA433" s="1107"/>
    </row>
    <row r="434" spans="1:27" ht="26.25" x14ac:dyDescent="0.25">
      <c r="A434" s="488"/>
      <c r="B434" s="131"/>
      <c r="C434" s="75"/>
      <c r="D434" s="568"/>
      <c r="E434" s="568"/>
      <c r="F434" s="143"/>
      <c r="G434" s="75"/>
      <c r="H434" s="75"/>
      <c r="I434" s="875"/>
      <c r="J434" s="188">
        <v>5362</v>
      </c>
      <c r="K434" s="695" t="s">
        <v>9208</v>
      </c>
      <c r="L434" s="915">
        <v>1640805.4450999999</v>
      </c>
      <c r="M434" s="915">
        <v>5293474.5732000005</v>
      </c>
      <c r="N434" s="312" t="s">
        <v>8511</v>
      </c>
      <c r="O434" s="312" t="s">
        <v>2761</v>
      </c>
      <c r="P434" s="312" t="s">
        <v>419</v>
      </c>
      <c r="Q434" s="312" t="s">
        <v>8536</v>
      </c>
      <c r="R434" s="76" t="s">
        <v>4329</v>
      </c>
      <c r="S434" s="68" t="s">
        <v>10</v>
      </c>
      <c r="T434" s="892" t="s">
        <v>8412</v>
      </c>
      <c r="U434" s="403" t="s">
        <v>8491</v>
      </c>
      <c r="V434" s="46" t="s">
        <v>8484</v>
      </c>
      <c r="W434" s="46" t="s">
        <v>37</v>
      </c>
      <c r="X434" s="47">
        <v>44391</v>
      </c>
      <c r="Y434" s="1128"/>
      <c r="Z434" s="365"/>
      <c r="AA434" s="1107"/>
    </row>
    <row r="435" spans="1:27" ht="26.25" x14ac:dyDescent="0.25">
      <c r="A435" s="488"/>
      <c r="B435" s="131"/>
      <c r="C435" s="75"/>
      <c r="D435" s="568"/>
      <c r="E435" s="568"/>
      <c r="F435" s="143"/>
      <c r="G435" s="75"/>
      <c r="H435" s="75"/>
      <c r="I435" s="875"/>
      <c r="J435" s="188">
        <v>5363</v>
      </c>
      <c r="K435" s="695" t="s">
        <v>9209</v>
      </c>
      <c r="L435" s="915">
        <v>1641292.5001000001</v>
      </c>
      <c r="M435" s="915">
        <v>5293743.5362999998</v>
      </c>
      <c r="N435" s="67" t="s">
        <v>1374</v>
      </c>
      <c r="O435" s="67" t="s">
        <v>194</v>
      </c>
      <c r="P435" s="67">
        <v>1</v>
      </c>
      <c r="Q435" s="67" t="s">
        <v>8528</v>
      </c>
      <c r="R435" s="76" t="s">
        <v>4329</v>
      </c>
      <c r="S435" s="68" t="s">
        <v>10</v>
      </c>
      <c r="T435" s="892" t="s">
        <v>4131</v>
      </c>
      <c r="U435" s="403" t="s">
        <v>8491</v>
      </c>
      <c r="V435" s="46" t="s">
        <v>8484</v>
      </c>
      <c r="W435" s="46" t="s">
        <v>37</v>
      </c>
      <c r="X435" s="47">
        <v>44391</v>
      </c>
      <c r="Y435" s="1128"/>
      <c r="Z435" s="365"/>
      <c r="AA435" s="1107"/>
    </row>
    <row r="436" spans="1:27" ht="26.25" x14ac:dyDescent="0.25">
      <c r="A436" s="488"/>
      <c r="B436" s="131"/>
      <c r="C436" s="75"/>
      <c r="D436" s="568"/>
      <c r="E436" s="568"/>
      <c r="F436" s="143"/>
      <c r="G436" s="75"/>
      <c r="H436" s="75"/>
      <c r="I436" s="875"/>
      <c r="J436" s="188">
        <v>5364</v>
      </c>
      <c r="K436" s="695" t="s">
        <v>8512</v>
      </c>
      <c r="L436" s="915">
        <v>1641673.5020999999</v>
      </c>
      <c r="M436" s="915">
        <v>5293734.6050000004</v>
      </c>
      <c r="N436" s="312" t="s">
        <v>8513</v>
      </c>
      <c r="O436" s="312" t="s">
        <v>2761</v>
      </c>
      <c r="P436" s="312" t="s">
        <v>419</v>
      </c>
      <c r="Q436" s="312" t="s">
        <v>8537</v>
      </c>
      <c r="R436" s="76" t="s">
        <v>4329</v>
      </c>
      <c r="S436" s="68" t="s">
        <v>10</v>
      </c>
      <c r="T436" s="892" t="s">
        <v>4131</v>
      </c>
      <c r="U436" s="403" t="s">
        <v>8491</v>
      </c>
      <c r="V436" s="46" t="s">
        <v>8484</v>
      </c>
      <c r="W436" s="46" t="s">
        <v>37</v>
      </c>
      <c r="X436" s="47">
        <v>44391</v>
      </c>
      <c r="Y436" s="1128"/>
      <c r="Z436" s="365"/>
      <c r="AA436" s="1107"/>
    </row>
    <row r="437" spans="1:27" ht="27" thickBot="1" x14ac:dyDescent="0.3">
      <c r="A437" s="489"/>
      <c r="B437" s="133"/>
      <c r="C437" s="78"/>
      <c r="D437" s="569"/>
      <c r="E437" s="569"/>
      <c r="F437" s="144"/>
      <c r="G437" s="78"/>
      <c r="H437" s="78"/>
      <c r="I437" s="876"/>
      <c r="J437" s="192">
        <v>5365</v>
      </c>
      <c r="K437" s="70" t="s">
        <v>8514</v>
      </c>
      <c r="L437" s="916">
        <v>1641894.5009999999</v>
      </c>
      <c r="M437" s="916">
        <v>5294033.5399000002</v>
      </c>
      <c r="N437" s="233" t="s">
        <v>8515</v>
      </c>
      <c r="O437" s="233" t="s">
        <v>2761</v>
      </c>
      <c r="P437" s="233" t="s">
        <v>419</v>
      </c>
      <c r="Q437" s="233" t="s">
        <v>8538</v>
      </c>
      <c r="R437" s="79" t="s">
        <v>4329</v>
      </c>
      <c r="S437" s="71" t="s">
        <v>10</v>
      </c>
      <c r="T437" s="893" t="s">
        <v>8363</v>
      </c>
      <c r="U437" s="271" t="s">
        <v>8483</v>
      </c>
      <c r="V437" s="52" t="s">
        <v>8484</v>
      </c>
      <c r="W437" s="52" t="s">
        <v>37</v>
      </c>
      <c r="X437" s="53">
        <v>44391</v>
      </c>
      <c r="Y437" s="1129"/>
      <c r="Z437" s="367"/>
      <c r="AA437" s="653"/>
    </row>
    <row r="438" spans="1:27" s="871" customFormat="1" ht="52.5" thickBot="1" x14ac:dyDescent="0.3">
      <c r="A438" s="1041" t="s">
        <v>3571</v>
      </c>
      <c r="B438" s="589" t="s">
        <v>3571</v>
      </c>
      <c r="C438" s="110">
        <v>532</v>
      </c>
      <c r="D438" s="638" t="s">
        <v>52</v>
      </c>
      <c r="E438" s="638"/>
      <c r="F438" s="149" t="s">
        <v>668</v>
      </c>
      <c r="G438" s="149" t="s">
        <v>1263</v>
      </c>
      <c r="H438" s="84"/>
      <c r="I438" s="124"/>
      <c r="J438" s="89">
        <v>978</v>
      </c>
      <c r="K438" s="396" t="s">
        <v>8444</v>
      </c>
      <c r="L438" s="265">
        <v>1511336.8879</v>
      </c>
      <c r="M438" s="265">
        <v>5364349.7271999996</v>
      </c>
      <c r="N438" s="109" t="s">
        <v>8445</v>
      </c>
      <c r="O438" s="109" t="s">
        <v>8446</v>
      </c>
      <c r="P438" s="109" t="s">
        <v>419</v>
      </c>
      <c r="Q438" s="109" t="s">
        <v>8449</v>
      </c>
      <c r="R438" s="396" t="s">
        <v>8448</v>
      </c>
      <c r="S438" s="90" t="s">
        <v>85</v>
      </c>
      <c r="T438" s="446" t="s">
        <v>4524</v>
      </c>
      <c r="U438" s="208" t="s">
        <v>10156</v>
      </c>
      <c r="V438" s="208" t="s">
        <v>8461</v>
      </c>
      <c r="W438" s="208" t="s">
        <v>37</v>
      </c>
      <c r="X438" s="209">
        <v>44491</v>
      </c>
      <c r="Y438" s="208"/>
      <c r="Z438" s="364"/>
      <c r="AA438" s="1109"/>
    </row>
    <row r="439" spans="1:27" s="871" customFormat="1" ht="26.25" x14ac:dyDescent="0.25">
      <c r="A439" s="635" t="s">
        <v>4315</v>
      </c>
      <c r="B439" s="316" t="s">
        <v>4301</v>
      </c>
      <c r="C439" s="254">
        <v>583</v>
      </c>
      <c r="D439" s="597" t="s">
        <v>52</v>
      </c>
      <c r="E439" s="597" t="s">
        <v>53</v>
      </c>
      <c r="F439" s="145" t="s">
        <v>4316</v>
      </c>
      <c r="G439" s="125" t="s">
        <v>1973</v>
      </c>
      <c r="H439" s="125"/>
      <c r="I439" s="181"/>
      <c r="J439" s="189">
        <v>766</v>
      </c>
      <c r="K439" s="355" t="s">
        <v>4302</v>
      </c>
      <c r="L439" s="911">
        <v>1666416</v>
      </c>
      <c r="M439" s="911">
        <v>5337773</v>
      </c>
      <c r="N439" s="126" t="s">
        <v>4317</v>
      </c>
      <c r="O439" s="126" t="s">
        <v>61</v>
      </c>
      <c r="P439" s="126" t="s">
        <v>419</v>
      </c>
      <c r="Q439" s="126" t="s">
        <v>4682</v>
      </c>
      <c r="R439" s="355" t="s">
        <v>4329</v>
      </c>
      <c r="S439" s="134" t="s">
        <v>10</v>
      </c>
      <c r="T439" s="203" t="s">
        <v>4333</v>
      </c>
      <c r="U439" s="152" t="s">
        <v>4338</v>
      </c>
      <c r="V439" s="152" t="s">
        <v>4285</v>
      </c>
      <c r="W439" s="152" t="s">
        <v>37</v>
      </c>
      <c r="X439" s="170">
        <v>44211</v>
      </c>
      <c r="Y439" s="152"/>
      <c r="Z439" s="361"/>
      <c r="AA439" s="1112"/>
    </row>
    <row r="440" spans="1:27" s="871" customFormat="1" ht="26.25" x14ac:dyDescent="0.25">
      <c r="A440" s="1042"/>
      <c r="B440" s="346"/>
      <c r="C440" s="258"/>
      <c r="D440" s="778"/>
      <c r="E440" s="778"/>
      <c r="F440" s="146"/>
      <c r="G440" s="95"/>
      <c r="H440" s="95"/>
      <c r="I440" s="116"/>
      <c r="J440" s="191">
        <v>767</v>
      </c>
      <c r="K440" s="359" t="s">
        <v>4303</v>
      </c>
      <c r="L440" s="913">
        <v>1666406</v>
      </c>
      <c r="M440" s="913">
        <v>5337770</v>
      </c>
      <c r="N440" s="108" t="s">
        <v>4318</v>
      </c>
      <c r="O440" s="108" t="s">
        <v>61</v>
      </c>
      <c r="P440" s="108" t="s">
        <v>419</v>
      </c>
      <c r="Q440" s="108" t="s">
        <v>4328</v>
      </c>
      <c r="R440" s="359" t="s">
        <v>4329</v>
      </c>
      <c r="S440" s="98" t="s">
        <v>10</v>
      </c>
      <c r="T440" s="180" t="s">
        <v>4334</v>
      </c>
      <c r="U440" s="137" t="s">
        <v>4300</v>
      </c>
      <c r="V440" s="137" t="s">
        <v>4285</v>
      </c>
      <c r="W440" s="137" t="s">
        <v>37</v>
      </c>
      <c r="X440" s="139">
        <v>44211</v>
      </c>
      <c r="Y440" s="137"/>
      <c r="Z440" s="358"/>
      <c r="AA440" s="1110"/>
    </row>
    <row r="441" spans="1:27" s="871" customFormat="1" ht="26.25" x14ac:dyDescent="0.25">
      <c r="A441" s="1042"/>
      <c r="B441" s="346"/>
      <c r="C441" s="258"/>
      <c r="D441" s="778"/>
      <c r="E441" s="778"/>
      <c r="F441" s="146"/>
      <c r="G441" s="95"/>
      <c r="H441" s="95"/>
      <c r="I441" s="116"/>
      <c r="J441" s="191">
        <v>768</v>
      </c>
      <c r="K441" s="359" t="s">
        <v>4304</v>
      </c>
      <c r="L441" s="913">
        <v>1666224</v>
      </c>
      <c r="M441" s="913">
        <v>5337584</v>
      </c>
      <c r="N441" s="108" t="s">
        <v>4319</v>
      </c>
      <c r="O441" s="108" t="s">
        <v>61</v>
      </c>
      <c r="P441" s="108" t="s">
        <v>419</v>
      </c>
      <c r="Q441" s="108" t="s">
        <v>4683</v>
      </c>
      <c r="R441" s="359" t="s">
        <v>4329</v>
      </c>
      <c r="S441" s="98" t="s">
        <v>10</v>
      </c>
      <c r="T441" s="180" t="s">
        <v>4334</v>
      </c>
      <c r="U441" s="137" t="s">
        <v>4300</v>
      </c>
      <c r="V441" s="137" t="s">
        <v>4285</v>
      </c>
      <c r="W441" s="137" t="s">
        <v>37</v>
      </c>
      <c r="X441" s="139">
        <v>44211</v>
      </c>
      <c r="Y441" s="137"/>
      <c r="Z441" s="358"/>
      <c r="AA441" s="1110"/>
    </row>
    <row r="442" spans="1:27" s="871" customFormat="1" ht="26.25" x14ac:dyDescent="0.25">
      <c r="A442" s="1042"/>
      <c r="B442" s="346"/>
      <c r="C442" s="258"/>
      <c r="D442" s="778"/>
      <c r="E442" s="778"/>
      <c r="F442" s="146"/>
      <c r="G442" s="95"/>
      <c r="H442" s="95"/>
      <c r="I442" s="116"/>
      <c r="J442" s="191">
        <v>769</v>
      </c>
      <c r="K442" s="359" t="s">
        <v>4305</v>
      </c>
      <c r="L442" s="913">
        <v>1666127</v>
      </c>
      <c r="M442" s="913">
        <v>5337487</v>
      </c>
      <c r="N442" s="108" t="s">
        <v>4320</v>
      </c>
      <c r="O442" s="108" t="s">
        <v>61</v>
      </c>
      <c r="P442" s="108" t="s">
        <v>419</v>
      </c>
      <c r="Q442" s="108" t="s">
        <v>4684</v>
      </c>
      <c r="R442" s="359" t="s">
        <v>4329</v>
      </c>
      <c r="S442" s="98" t="s">
        <v>10</v>
      </c>
      <c r="T442" s="180" t="s">
        <v>4334</v>
      </c>
      <c r="U442" s="137" t="s">
        <v>4300</v>
      </c>
      <c r="V442" s="137" t="s">
        <v>4285</v>
      </c>
      <c r="W442" s="137" t="s">
        <v>37</v>
      </c>
      <c r="X442" s="139">
        <v>44211</v>
      </c>
      <c r="Y442" s="137"/>
      <c r="Z442" s="358"/>
      <c r="AA442" s="1110"/>
    </row>
    <row r="443" spans="1:27" s="871" customFormat="1" ht="26.25" x14ac:dyDescent="0.25">
      <c r="A443" s="1042"/>
      <c r="B443" s="346"/>
      <c r="C443" s="258"/>
      <c r="D443" s="778"/>
      <c r="E443" s="778"/>
      <c r="F443" s="146"/>
      <c r="G443" s="95"/>
      <c r="H443" s="95"/>
      <c r="I443" s="116"/>
      <c r="J443" s="191">
        <v>770</v>
      </c>
      <c r="K443" s="359" t="s">
        <v>4306</v>
      </c>
      <c r="L443" s="913">
        <v>1665063</v>
      </c>
      <c r="M443" s="913">
        <v>5336489</v>
      </c>
      <c r="N443" s="108" t="s">
        <v>4321</v>
      </c>
      <c r="O443" s="108" t="s">
        <v>61</v>
      </c>
      <c r="P443" s="108" t="s">
        <v>419</v>
      </c>
      <c r="Q443" s="108" t="s">
        <v>4330</v>
      </c>
      <c r="R443" s="359" t="s">
        <v>4329</v>
      </c>
      <c r="S443" s="98" t="s">
        <v>10</v>
      </c>
      <c r="T443" s="180" t="s">
        <v>4335</v>
      </c>
      <c r="U443" s="137" t="s">
        <v>4300</v>
      </c>
      <c r="V443" s="137" t="s">
        <v>4285</v>
      </c>
      <c r="W443" s="137" t="s">
        <v>37</v>
      </c>
      <c r="X443" s="139">
        <v>44211</v>
      </c>
      <c r="Y443" s="137"/>
      <c r="Z443" s="358"/>
      <c r="AA443" s="1110"/>
    </row>
    <row r="444" spans="1:27" s="871" customFormat="1" ht="39" x14ac:dyDescent="0.25">
      <c r="A444" s="1042"/>
      <c r="B444" s="346"/>
      <c r="C444" s="258"/>
      <c r="D444" s="778"/>
      <c r="E444" s="778"/>
      <c r="F444" s="146"/>
      <c r="G444" s="95"/>
      <c r="H444" s="95"/>
      <c r="I444" s="116"/>
      <c r="J444" s="191">
        <v>771</v>
      </c>
      <c r="K444" s="359" t="s">
        <v>4331</v>
      </c>
      <c r="L444" s="913">
        <v>1664937</v>
      </c>
      <c r="M444" s="913">
        <v>5336369</v>
      </c>
      <c r="N444" s="108" t="s">
        <v>4322</v>
      </c>
      <c r="O444" s="108" t="s">
        <v>61</v>
      </c>
      <c r="P444" s="108" t="s">
        <v>419</v>
      </c>
      <c r="Q444" s="108" t="s">
        <v>4685</v>
      </c>
      <c r="R444" s="359" t="s">
        <v>4329</v>
      </c>
      <c r="S444" s="98" t="s">
        <v>10</v>
      </c>
      <c r="T444" s="180" t="s">
        <v>58</v>
      </c>
      <c r="U444" s="137" t="s">
        <v>4341</v>
      </c>
      <c r="V444" s="137" t="s">
        <v>4285</v>
      </c>
      <c r="W444" s="137" t="s">
        <v>37</v>
      </c>
      <c r="X444" s="139">
        <v>44211</v>
      </c>
      <c r="Y444" s="137"/>
      <c r="Z444" s="358"/>
      <c r="AA444" s="1110"/>
    </row>
    <row r="445" spans="1:27" s="871" customFormat="1" ht="39" x14ac:dyDescent="0.25">
      <c r="A445" s="1042"/>
      <c r="B445" s="346"/>
      <c r="C445" s="258"/>
      <c r="D445" s="778"/>
      <c r="E445" s="778"/>
      <c r="F445" s="146"/>
      <c r="G445" s="95"/>
      <c r="H445" s="95"/>
      <c r="I445" s="116"/>
      <c r="J445" s="191">
        <v>772</v>
      </c>
      <c r="K445" s="359" t="s">
        <v>4307</v>
      </c>
      <c r="L445" s="913">
        <v>1664759</v>
      </c>
      <c r="M445" s="913">
        <v>5335937</v>
      </c>
      <c r="N445" s="108" t="s">
        <v>4323</v>
      </c>
      <c r="O445" s="108" t="s">
        <v>61</v>
      </c>
      <c r="P445" s="108" t="s">
        <v>419</v>
      </c>
      <c r="Q445" s="108" t="s">
        <v>4686</v>
      </c>
      <c r="R445" s="359" t="s">
        <v>4329</v>
      </c>
      <c r="S445" s="98" t="s">
        <v>10</v>
      </c>
      <c r="T445" s="180" t="s">
        <v>4334</v>
      </c>
      <c r="U445" s="137" t="s">
        <v>4341</v>
      </c>
      <c r="V445" s="137" t="s">
        <v>4285</v>
      </c>
      <c r="W445" s="137" t="s">
        <v>37</v>
      </c>
      <c r="X445" s="139">
        <v>44211</v>
      </c>
      <c r="Y445" s="137"/>
      <c r="Z445" s="358"/>
      <c r="AA445" s="1110"/>
    </row>
    <row r="446" spans="1:27" s="871" customFormat="1" ht="39" x14ac:dyDescent="0.25">
      <c r="A446" s="1042"/>
      <c r="B446" s="346"/>
      <c r="C446" s="258"/>
      <c r="D446" s="778"/>
      <c r="E446" s="778"/>
      <c r="F446" s="146"/>
      <c r="G446" s="95"/>
      <c r="H446" s="95"/>
      <c r="I446" s="116"/>
      <c r="J446" s="191">
        <v>773</v>
      </c>
      <c r="K446" s="359" t="s">
        <v>4308</v>
      </c>
      <c r="L446" s="913">
        <v>1662900</v>
      </c>
      <c r="M446" s="913">
        <v>5332862</v>
      </c>
      <c r="N446" s="108" t="s">
        <v>731</v>
      </c>
      <c r="O446" s="108" t="s">
        <v>5</v>
      </c>
      <c r="P446" s="108">
        <v>1</v>
      </c>
      <c r="Q446" s="108" t="s">
        <v>8989</v>
      </c>
      <c r="R446" s="359" t="s">
        <v>8979</v>
      </c>
      <c r="S446" s="98" t="s">
        <v>10</v>
      </c>
      <c r="T446" s="180" t="s">
        <v>4131</v>
      </c>
      <c r="U446" s="137" t="s">
        <v>4339</v>
      </c>
      <c r="V446" s="137" t="s">
        <v>4285</v>
      </c>
      <c r="W446" s="137" t="s">
        <v>37</v>
      </c>
      <c r="X446" s="139">
        <v>44211</v>
      </c>
      <c r="Y446" s="137"/>
      <c r="Z446" s="358"/>
      <c r="AA446" s="1110"/>
    </row>
    <row r="447" spans="1:27" s="871" customFormat="1" ht="39" x14ac:dyDescent="0.25">
      <c r="A447" s="1042"/>
      <c r="B447" s="346"/>
      <c r="C447" s="258"/>
      <c r="D447" s="778"/>
      <c r="E447" s="778"/>
      <c r="F447" s="146"/>
      <c r="G447" s="95"/>
      <c r="H447" s="95"/>
      <c r="I447" s="116"/>
      <c r="J447" s="191">
        <v>774</v>
      </c>
      <c r="K447" s="359" t="s">
        <v>4309</v>
      </c>
      <c r="L447" s="913">
        <v>1662640</v>
      </c>
      <c r="M447" s="913">
        <v>5332718</v>
      </c>
      <c r="N447" s="108" t="s">
        <v>4324</v>
      </c>
      <c r="O447" s="108" t="s">
        <v>5</v>
      </c>
      <c r="P447" s="108">
        <v>1</v>
      </c>
      <c r="Q447" s="108" t="s">
        <v>8988</v>
      </c>
      <c r="R447" s="359" t="s">
        <v>8979</v>
      </c>
      <c r="S447" s="98" t="s">
        <v>10</v>
      </c>
      <c r="T447" s="180" t="s">
        <v>4336</v>
      </c>
      <c r="U447" s="137" t="s">
        <v>4339</v>
      </c>
      <c r="V447" s="137" t="s">
        <v>4285</v>
      </c>
      <c r="W447" s="137" t="s">
        <v>37</v>
      </c>
      <c r="X447" s="139">
        <v>44211</v>
      </c>
      <c r="Y447" s="137"/>
      <c r="Z447" s="358"/>
      <c r="AA447" s="1110"/>
    </row>
    <row r="448" spans="1:27" s="871" customFormat="1" ht="26.25" x14ac:dyDescent="0.25">
      <c r="A448" s="1042"/>
      <c r="B448" s="346"/>
      <c r="C448" s="258"/>
      <c r="D448" s="778"/>
      <c r="E448" s="778"/>
      <c r="F448" s="146"/>
      <c r="G448" s="95"/>
      <c r="H448" s="95"/>
      <c r="I448" s="116"/>
      <c r="J448" s="191">
        <v>775</v>
      </c>
      <c r="K448" s="359" t="s">
        <v>4310</v>
      </c>
      <c r="L448" s="913">
        <v>1661202</v>
      </c>
      <c r="M448" s="913">
        <v>5331040</v>
      </c>
      <c r="N448" s="108" t="s">
        <v>4325</v>
      </c>
      <c r="O448" s="108" t="s">
        <v>61</v>
      </c>
      <c r="P448" s="108" t="s">
        <v>419</v>
      </c>
      <c r="Q448" s="108" t="s">
        <v>4332</v>
      </c>
      <c r="R448" s="359" t="s">
        <v>4329</v>
      </c>
      <c r="S448" s="98" t="s">
        <v>10</v>
      </c>
      <c r="T448" s="180" t="s">
        <v>4334</v>
      </c>
      <c r="U448" s="137" t="s">
        <v>4300</v>
      </c>
      <c r="V448" s="137" t="s">
        <v>4285</v>
      </c>
      <c r="W448" s="137" t="s">
        <v>37</v>
      </c>
      <c r="X448" s="139">
        <v>44211</v>
      </c>
      <c r="Y448" s="137"/>
      <c r="Z448" s="358"/>
      <c r="AA448" s="1110"/>
    </row>
    <row r="449" spans="1:27" s="871" customFormat="1" ht="39" x14ac:dyDescent="0.25">
      <c r="A449" s="1042"/>
      <c r="B449" s="346"/>
      <c r="C449" s="258"/>
      <c r="D449" s="778"/>
      <c r="E449" s="778"/>
      <c r="F449" s="146"/>
      <c r="G449" s="95"/>
      <c r="H449" s="95"/>
      <c r="I449" s="116"/>
      <c r="J449" s="191">
        <v>776</v>
      </c>
      <c r="K449" s="359" t="s">
        <v>4311</v>
      </c>
      <c r="L449" s="913">
        <v>1659673</v>
      </c>
      <c r="M449" s="913">
        <v>5328686</v>
      </c>
      <c r="N449" s="108" t="s">
        <v>4326</v>
      </c>
      <c r="O449" s="108" t="s">
        <v>61</v>
      </c>
      <c r="P449" s="108" t="s">
        <v>419</v>
      </c>
      <c r="Q449" s="108" t="s">
        <v>4687</v>
      </c>
      <c r="R449" s="359" t="s">
        <v>4329</v>
      </c>
      <c r="S449" s="98" t="s">
        <v>10</v>
      </c>
      <c r="T449" s="180" t="s">
        <v>4334</v>
      </c>
      <c r="U449" s="137" t="s">
        <v>4341</v>
      </c>
      <c r="V449" s="137" t="s">
        <v>4285</v>
      </c>
      <c r="W449" s="137" t="s">
        <v>37</v>
      </c>
      <c r="X449" s="139">
        <v>44211</v>
      </c>
      <c r="Y449" s="137"/>
      <c r="Z449" s="358"/>
      <c r="AA449" s="1110"/>
    </row>
    <row r="450" spans="1:27" s="871" customFormat="1" ht="51.75" x14ac:dyDescent="0.25">
      <c r="A450" s="1042"/>
      <c r="B450" s="346"/>
      <c r="C450" s="258"/>
      <c r="D450" s="778"/>
      <c r="E450" s="778"/>
      <c r="F450" s="146"/>
      <c r="G450" s="95"/>
      <c r="H450" s="95"/>
      <c r="I450" s="116"/>
      <c r="J450" s="191">
        <v>792</v>
      </c>
      <c r="K450" s="359" t="s">
        <v>4312</v>
      </c>
      <c r="L450" s="913">
        <v>1667155</v>
      </c>
      <c r="M450" s="913">
        <v>5338496</v>
      </c>
      <c r="N450" s="108" t="s">
        <v>4327</v>
      </c>
      <c r="O450" s="108" t="s">
        <v>194</v>
      </c>
      <c r="P450" s="108">
        <v>1</v>
      </c>
      <c r="Q450" s="108" t="s">
        <v>8986</v>
      </c>
      <c r="R450" s="359" t="s">
        <v>8987</v>
      </c>
      <c r="S450" s="98" t="s">
        <v>10</v>
      </c>
      <c r="T450" s="180" t="s">
        <v>4337</v>
      </c>
      <c r="U450" s="137" t="s">
        <v>4300</v>
      </c>
      <c r="V450" s="137" t="s">
        <v>4285</v>
      </c>
      <c r="W450" s="137" t="s">
        <v>37</v>
      </c>
      <c r="X450" s="139">
        <v>44211</v>
      </c>
      <c r="Y450" s="137"/>
      <c r="Z450" s="358"/>
      <c r="AA450" s="1110"/>
    </row>
    <row r="451" spans="1:27" s="871" customFormat="1" ht="51.75" x14ac:dyDescent="0.25">
      <c r="A451" s="1042"/>
      <c r="B451" s="346"/>
      <c r="C451" s="258"/>
      <c r="D451" s="778"/>
      <c r="E451" s="778"/>
      <c r="F451" s="146"/>
      <c r="G451" s="95"/>
      <c r="H451" s="95"/>
      <c r="I451" s="116"/>
      <c r="J451" s="191">
        <v>793</v>
      </c>
      <c r="K451" s="359" t="s">
        <v>4313</v>
      </c>
      <c r="L451" s="913">
        <v>1664407</v>
      </c>
      <c r="M451" s="913">
        <v>5335437</v>
      </c>
      <c r="N451" s="108" t="s">
        <v>1640</v>
      </c>
      <c r="O451" s="108" t="s">
        <v>194</v>
      </c>
      <c r="P451" s="108">
        <v>1</v>
      </c>
      <c r="Q451" s="108" t="s">
        <v>2242</v>
      </c>
      <c r="R451" s="359" t="s">
        <v>8978</v>
      </c>
      <c r="S451" s="98" t="s">
        <v>10</v>
      </c>
      <c r="T451" s="180" t="s">
        <v>58</v>
      </c>
      <c r="U451" s="137" t="s">
        <v>4341</v>
      </c>
      <c r="V451" s="137" t="s">
        <v>4285</v>
      </c>
      <c r="W451" s="137" t="s">
        <v>37</v>
      </c>
      <c r="X451" s="139">
        <v>44211</v>
      </c>
      <c r="Y451" s="137"/>
      <c r="Z451" s="358"/>
      <c r="AA451" s="1110"/>
    </row>
    <row r="452" spans="1:27" s="871" customFormat="1" ht="52.5" thickBot="1" x14ac:dyDescent="0.3">
      <c r="A452" s="636"/>
      <c r="B452" s="315"/>
      <c r="C452" s="261"/>
      <c r="D452" s="581"/>
      <c r="E452" s="581"/>
      <c r="F452" s="147"/>
      <c r="G452" s="96"/>
      <c r="H452" s="96"/>
      <c r="I452" s="196"/>
      <c r="J452" s="190">
        <v>794</v>
      </c>
      <c r="K452" s="357" t="s">
        <v>4314</v>
      </c>
      <c r="L452" s="912">
        <v>1662526</v>
      </c>
      <c r="M452" s="912">
        <v>5332614</v>
      </c>
      <c r="N452" s="107" t="s">
        <v>4297</v>
      </c>
      <c r="O452" s="107" t="s">
        <v>194</v>
      </c>
      <c r="P452" s="107">
        <v>1</v>
      </c>
      <c r="Q452" s="107" t="s">
        <v>8985</v>
      </c>
      <c r="R452" s="357" t="s">
        <v>8978</v>
      </c>
      <c r="S452" s="100" t="s">
        <v>10</v>
      </c>
      <c r="T452" s="183" t="s">
        <v>4336</v>
      </c>
      <c r="U452" s="155" t="s">
        <v>4300</v>
      </c>
      <c r="V452" s="155" t="s">
        <v>4285</v>
      </c>
      <c r="W452" s="155" t="s">
        <v>37</v>
      </c>
      <c r="X452" s="172">
        <v>44211</v>
      </c>
      <c r="Y452" s="155"/>
      <c r="Z452" s="362"/>
      <c r="AA452" s="1111"/>
    </row>
    <row r="453" spans="1:27" s="869" customFormat="1" ht="39" x14ac:dyDescent="0.25">
      <c r="A453" s="1045" t="s">
        <v>2191</v>
      </c>
      <c r="B453" s="700" t="s">
        <v>2192</v>
      </c>
      <c r="C453" s="217">
        <v>578</v>
      </c>
      <c r="D453" s="700" t="s">
        <v>6844</v>
      </c>
      <c r="E453" s="700"/>
      <c r="F453" s="219" t="s">
        <v>668</v>
      </c>
      <c r="G453" s="26" t="s">
        <v>4986</v>
      </c>
      <c r="H453" s="26"/>
      <c r="I453" s="29"/>
      <c r="J453" s="490">
        <v>682</v>
      </c>
      <c r="K453" s="58" t="s">
        <v>4342</v>
      </c>
      <c r="L453" s="932">
        <v>1687617</v>
      </c>
      <c r="M453" s="932">
        <v>5354067</v>
      </c>
      <c r="N453" s="491" t="s">
        <v>4426</v>
      </c>
      <c r="O453" s="491" t="s">
        <v>61</v>
      </c>
      <c r="P453" s="491" t="s">
        <v>419</v>
      </c>
      <c r="Q453" s="491" t="s">
        <v>4688</v>
      </c>
      <c r="R453" s="58" t="s">
        <v>4329</v>
      </c>
      <c r="S453" s="59" t="s">
        <v>10</v>
      </c>
      <c r="T453" s="846" t="s">
        <v>4283</v>
      </c>
      <c r="U453" s="152" t="s">
        <v>4551</v>
      </c>
      <c r="V453" s="152" t="s">
        <v>4285</v>
      </c>
      <c r="W453" s="152" t="s">
        <v>37</v>
      </c>
      <c r="X453" s="170">
        <v>44211</v>
      </c>
      <c r="Y453" s="152"/>
      <c r="Z453" s="361"/>
      <c r="AA453" s="1112"/>
    </row>
    <row r="454" spans="1:27" s="869" customFormat="1" ht="39" x14ac:dyDescent="0.25">
      <c r="A454" s="1140"/>
      <c r="B454" s="1141"/>
      <c r="C454" s="862"/>
      <c r="D454" s="862"/>
      <c r="E454" s="862"/>
      <c r="F454" s="862"/>
      <c r="G454" s="862"/>
      <c r="H454" s="862"/>
      <c r="I454" s="882"/>
      <c r="J454" s="501">
        <v>683</v>
      </c>
      <c r="K454" s="60" t="s">
        <v>4343</v>
      </c>
      <c r="L454" s="933">
        <v>1687393</v>
      </c>
      <c r="M454" s="933">
        <v>5354000</v>
      </c>
      <c r="N454" s="502" t="s">
        <v>4427</v>
      </c>
      <c r="O454" s="502" t="s">
        <v>61</v>
      </c>
      <c r="P454" s="502" t="s">
        <v>419</v>
      </c>
      <c r="Q454" s="502" t="s">
        <v>4508</v>
      </c>
      <c r="R454" s="60" t="s">
        <v>4329</v>
      </c>
      <c r="S454" s="61" t="s">
        <v>10</v>
      </c>
      <c r="T454" s="847" t="s">
        <v>4524</v>
      </c>
      <c r="U454" s="137" t="s">
        <v>4551</v>
      </c>
      <c r="V454" s="137" t="s">
        <v>4285</v>
      </c>
      <c r="W454" s="137" t="s">
        <v>37</v>
      </c>
      <c r="X454" s="139">
        <v>44211</v>
      </c>
      <c r="Y454" s="137"/>
      <c r="Z454" s="358"/>
      <c r="AA454" s="1110"/>
    </row>
    <row r="455" spans="1:27" s="869" customFormat="1" ht="39" x14ac:dyDescent="0.25">
      <c r="A455" s="1140"/>
      <c r="B455" s="1141"/>
      <c r="C455" s="862"/>
      <c r="D455" s="862"/>
      <c r="E455" s="862"/>
      <c r="F455" s="862"/>
      <c r="G455" s="862"/>
      <c r="H455" s="862"/>
      <c r="I455" s="882"/>
      <c r="J455" s="501">
        <v>684</v>
      </c>
      <c r="K455" s="60" t="s">
        <v>4344</v>
      </c>
      <c r="L455" s="933">
        <v>1687200</v>
      </c>
      <c r="M455" s="933">
        <v>5353947</v>
      </c>
      <c r="N455" s="502" t="s">
        <v>4428</v>
      </c>
      <c r="O455" s="502" t="s">
        <v>61</v>
      </c>
      <c r="P455" s="502" t="s">
        <v>419</v>
      </c>
      <c r="Q455" s="502" t="s">
        <v>4509</v>
      </c>
      <c r="R455" s="60" t="s">
        <v>4329</v>
      </c>
      <c r="S455" s="61" t="s">
        <v>10</v>
      </c>
      <c r="T455" s="847" t="s">
        <v>4525</v>
      </c>
      <c r="U455" s="137" t="s">
        <v>4551</v>
      </c>
      <c r="V455" s="137" t="s">
        <v>4285</v>
      </c>
      <c r="W455" s="137" t="s">
        <v>37</v>
      </c>
      <c r="X455" s="139">
        <v>44211</v>
      </c>
      <c r="Y455" s="137"/>
      <c r="Z455" s="358"/>
      <c r="AA455" s="1110"/>
    </row>
    <row r="456" spans="1:27" s="869" customFormat="1" ht="26.25" x14ac:dyDescent="0.25">
      <c r="A456" s="1140"/>
      <c r="B456" s="1141"/>
      <c r="C456" s="862"/>
      <c r="D456" s="862"/>
      <c r="E456" s="862"/>
      <c r="F456" s="862"/>
      <c r="G456" s="862"/>
      <c r="H456" s="862"/>
      <c r="I456" s="882"/>
      <c r="J456" s="501">
        <v>685</v>
      </c>
      <c r="K456" s="60" t="s">
        <v>3832</v>
      </c>
      <c r="L456" s="933">
        <v>1686278</v>
      </c>
      <c r="M456" s="933">
        <v>5353573</v>
      </c>
      <c r="N456" s="502" t="s">
        <v>4429</v>
      </c>
      <c r="O456" s="502" t="s">
        <v>5</v>
      </c>
      <c r="P456" s="502">
        <v>1</v>
      </c>
      <c r="Q456" s="502" t="s">
        <v>9247</v>
      </c>
      <c r="R456" s="60" t="s">
        <v>4549</v>
      </c>
      <c r="S456" s="61" t="s">
        <v>10</v>
      </c>
      <c r="T456" s="847" t="s">
        <v>4131</v>
      </c>
      <c r="U456" s="137" t="s">
        <v>4339</v>
      </c>
      <c r="V456" s="137" t="s">
        <v>4285</v>
      </c>
      <c r="W456" s="137" t="s">
        <v>37</v>
      </c>
      <c r="X456" s="139">
        <v>44211</v>
      </c>
      <c r="Y456" s="137"/>
      <c r="Z456" s="358"/>
      <c r="AA456" s="1110"/>
    </row>
    <row r="457" spans="1:27" s="869" customFormat="1" ht="26.25" x14ac:dyDescent="0.25">
      <c r="A457" s="1140"/>
      <c r="B457" s="1141"/>
      <c r="C457" s="862"/>
      <c r="D457" s="862"/>
      <c r="E457" s="862"/>
      <c r="F457" s="862"/>
      <c r="G457" s="862"/>
      <c r="H457" s="862"/>
      <c r="I457" s="882"/>
      <c r="J457" s="501">
        <v>686</v>
      </c>
      <c r="K457" s="60" t="s">
        <v>3833</v>
      </c>
      <c r="L457" s="933">
        <v>1686117</v>
      </c>
      <c r="M457" s="933">
        <v>5353447</v>
      </c>
      <c r="N457" s="502" t="s">
        <v>4430</v>
      </c>
      <c r="O457" s="502" t="s">
        <v>5</v>
      </c>
      <c r="P457" s="502">
        <v>1</v>
      </c>
      <c r="Q457" s="502" t="s">
        <v>9248</v>
      </c>
      <c r="R457" s="60" t="s">
        <v>4549</v>
      </c>
      <c r="S457" s="61" t="s">
        <v>10</v>
      </c>
      <c r="T457" s="847" t="s">
        <v>4131</v>
      </c>
      <c r="U457" s="137" t="s">
        <v>4339</v>
      </c>
      <c r="V457" s="137" t="s">
        <v>4285</v>
      </c>
      <c r="W457" s="137" t="s">
        <v>37</v>
      </c>
      <c r="X457" s="139">
        <v>44211</v>
      </c>
      <c r="Y457" s="137"/>
      <c r="Z457" s="358"/>
      <c r="AA457" s="1110"/>
    </row>
    <row r="458" spans="1:27" s="869" customFormat="1" ht="26.25" x14ac:dyDescent="0.25">
      <c r="A458" s="1140"/>
      <c r="B458" s="1141"/>
      <c r="C458" s="862"/>
      <c r="D458" s="862"/>
      <c r="E458" s="862"/>
      <c r="F458" s="862"/>
      <c r="G458" s="862"/>
      <c r="H458" s="862"/>
      <c r="I458" s="882"/>
      <c r="J458" s="501">
        <v>687</v>
      </c>
      <c r="K458" s="60" t="s">
        <v>4345</v>
      </c>
      <c r="L458" s="933">
        <v>1685720</v>
      </c>
      <c r="M458" s="933">
        <v>5353346</v>
      </c>
      <c r="N458" s="502" t="s">
        <v>4431</v>
      </c>
      <c r="O458" s="502" t="s">
        <v>5</v>
      </c>
      <c r="P458" s="502">
        <v>1</v>
      </c>
      <c r="Q458" s="502" t="s">
        <v>9249</v>
      </c>
      <c r="R458" s="60" t="s">
        <v>4549</v>
      </c>
      <c r="S458" s="61" t="s">
        <v>10</v>
      </c>
      <c r="T458" s="847" t="s">
        <v>4131</v>
      </c>
      <c r="U458" s="137" t="s">
        <v>4300</v>
      </c>
      <c r="V458" s="137" t="s">
        <v>4285</v>
      </c>
      <c r="W458" s="137" t="s">
        <v>37</v>
      </c>
      <c r="X458" s="139">
        <v>44211</v>
      </c>
      <c r="Y458" s="137"/>
      <c r="Z458" s="358"/>
      <c r="AA458" s="1110"/>
    </row>
    <row r="459" spans="1:27" s="869" customFormat="1" ht="26.25" x14ac:dyDescent="0.25">
      <c r="A459" s="1140"/>
      <c r="B459" s="1141"/>
      <c r="C459" s="862"/>
      <c r="D459" s="862"/>
      <c r="E459" s="862"/>
      <c r="F459" s="862"/>
      <c r="G459" s="862"/>
      <c r="H459" s="862"/>
      <c r="I459" s="882"/>
      <c r="J459" s="501">
        <v>688</v>
      </c>
      <c r="K459" s="60" t="s">
        <v>1342</v>
      </c>
      <c r="L459" s="933">
        <v>1685166</v>
      </c>
      <c r="M459" s="933">
        <v>5352985</v>
      </c>
      <c r="N459" s="502" t="s">
        <v>4432</v>
      </c>
      <c r="O459" s="502" t="s">
        <v>5</v>
      </c>
      <c r="P459" s="502">
        <v>1</v>
      </c>
      <c r="Q459" s="502" t="s">
        <v>9250</v>
      </c>
      <c r="R459" s="60" t="s">
        <v>4549</v>
      </c>
      <c r="S459" s="61" t="s">
        <v>10</v>
      </c>
      <c r="T459" s="847" t="s">
        <v>4526</v>
      </c>
      <c r="U459" s="137" t="s">
        <v>4339</v>
      </c>
      <c r="V459" s="137" t="s">
        <v>4285</v>
      </c>
      <c r="W459" s="137" t="s">
        <v>37</v>
      </c>
      <c r="X459" s="139">
        <v>44211</v>
      </c>
      <c r="Y459" s="137"/>
      <c r="Z459" s="358"/>
      <c r="AA459" s="1110"/>
    </row>
    <row r="460" spans="1:27" s="869" customFormat="1" ht="26.25" x14ac:dyDescent="0.25">
      <c r="A460" s="1140"/>
      <c r="B460" s="1141"/>
      <c r="C460" s="862"/>
      <c r="D460" s="862"/>
      <c r="E460" s="862"/>
      <c r="F460" s="862"/>
      <c r="G460" s="862"/>
      <c r="H460" s="862"/>
      <c r="I460" s="882"/>
      <c r="J460" s="501">
        <v>689</v>
      </c>
      <c r="K460" s="60" t="s">
        <v>4346</v>
      </c>
      <c r="L460" s="933">
        <v>1685166</v>
      </c>
      <c r="M460" s="933">
        <v>5352985</v>
      </c>
      <c r="N460" s="502" t="s">
        <v>4433</v>
      </c>
      <c r="O460" s="502" t="s">
        <v>61</v>
      </c>
      <c r="P460" s="502" t="s">
        <v>419</v>
      </c>
      <c r="Q460" s="502" t="s">
        <v>4510</v>
      </c>
      <c r="R460" s="60" t="s">
        <v>4329</v>
      </c>
      <c r="S460" s="61" t="s">
        <v>10</v>
      </c>
      <c r="T460" s="847" t="s">
        <v>4527</v>
      </c>
      <c r="U460" s="137" t="s">
        <v>4339</v>
      </c>
      <c r="V460" s="137" t="s">
        <v>4285</v>
      </c>
      <c r="W460" s="137" t="s">
        <v>37</v>
      </c>
      <c r="X460" s="139">
        <v>44211</v>
      </c>
      <c r="Y460" s="137"/>
      <c r="Z460" s="358"/>
      <c r="AA460" s="1110"/>
    </row>
    <row r="461" spans="1:27" s="869" customFormat="1" ht="26.25" x14ac:dyDescent="0.25">
      <c r="A461" s="1140"/>
      <c r="B461" s="1141"/>
      <c r="C461" s="862"/>
      <c r="D461" s="862"/>
      <c r="E461" s="862"/>
      <c r="F461" s="862"/>
      <c r="G461" s="862"/>
      <c r="H461" s="862"/>
      <c r="I461" s="882"/>
      <c r="J461" s="501">
        <v>690</v>
      </c>
      <c r="K461" s="60" t="s">
        <v>3834</v>
      </c>
      <c r="L461" s="933">
        <v>1685143</v>
      </c>
      <c r="M461" s="933">
        <v>5352972</v>
      </c>
      <c r="N461" s="502" t="s">
        <v>4434</v>
      </c>
      <c r="O461" s="502" t="s">
        <v>5</v>
      </c>
      <c r="P461" s="502">
        <v>1</v>
      </c>
      <c r="Q461" s="502" t="s">
        <v>9251</v>
      </c>
      <c r="R461" s="60" t="s">
        <v>4549</v>
      </c>
      <c r="S461" s="61" t="s">
        <v>10</v>
      </c>
      <c r="T461" s="847" t="s">
        <v>4131</v>
      </c>
      <c r="U461" s="137" t="s">
        <v>4339</v>
      </c>
      <c r="V461" s="137" t="s">
        <v>4285</v>
      </c>
      <c r="W461" s="137" t="s">
        <v>37</v>
      </c>
      <c r="X461" s="139">
        <v>44211</v>
      </c>
      <c r="Y461" s="137"/>
      <c r="Z461" s="358"/>
      <c r="AA461" s="1110"/>
    </row>
    <row r="462" spans="1:27" s="869" customFormat="1" ht="26.25" x14ac:dyDescent="0.25">
      <c r="A462" s="1140"/>
      <c r="B462" s="1141"/>
      <c r="C462" s="862"/>
      <c r="D462" s="862"/>
      <c r="E462" s="862"/>
      <c r="F462" s="862"/>
      <c r="G462" s="862"/>
      <c r="H462" s="862"/>
      <c r="I462" s="882"/>
      <c r="J462" s="501">
        <v>691</v>
      </c>
      <c r="K462" s="60" t="s">
        <v>3837</v>
      </c>
      <c r="L462" s="933">
        <v>1684678</v>
      </c>
      <c r="M462" s="933">
        <v>5352806</v>
      </c>
      <c r="N462" s="502" t="s">
        <v>4435</v>
      </c>
      <c r="O462" s="502" t="s">
        <v>5</v>
      </c>
      <c r="P462" s="502">
        <v>1</v>
      </c>
      <c r="Q462" s="502" t="s">
        <v>9252</v>
      </c>
      <c r="R462" s="60" t="s">
        <v>4549</v>
      </c>
      <c r="S462" s="61" t="s">
        <v>10</v>
      </c>
      <c r="T462" s="847" t="s">
        <v>4131</v>
      </c>
      <c r="U462" s="137" t="s">
        <v>4552</v>
      </c>
      <c r="V462" s="137" t="s">
        <v>4285</v>
      </c>
      <c r="W462" s="137" t="s">
        <v>37</v>
      </c>
      <c r="X462" s="139">
        <v>44211</v>
      </c>
      <c r="Y462" s="137"/>
      <c r="Z462" s="358"/>
      <c r="AA462" s="1110"/>
    </row>
    <row r="463" spans="1:27" s="869" customFormat="1" ht="26.25" x14ac:dyDescent="0.25">
      <c r="A463" s="1140"/>
      <c r="B463" s="1141"/>
      <c r="C463" s="862"/>
      <c r="D463" s="862"/>
      <c r="E463" s="862"/>
      <c r="F463" s="862"/>
      <c r="G463" s="862"/>
      <c r="H463" s="862"/>
      <c r="I463" s="882"/>
      <c r="J463" s="501">
        <v>692</v>
      </c>
      <c r="K463" s="60" t="s">
        <v>4347</v>
      </c>
      <c r="L463" s="933">
        <v>1684058</v>
      </c>
      <c r="M463" s="933">
        <v>5352639</v>
      </c>
      <c r="N463" s="502" t="s">
        <v>4436</v>
      </c>
      <c r="O463" s="502" t="s">
        <v>5</v>
      </c>
      <c r="P463" s="502">
        <v>1</v>
      </c>
      <c r="Q463" s="502" t="s">
        <v>9253</v>
      </c>
      <c r="R463" s="60" t="s">
        <v>4549</v>
      </c>
      <c r="S463" s="61" t="s">
        <v>10</v>
      </c>
      <c r="T463" s="847" t="s">
        <v>4283</v>
      </c>
      <c r="U463" s="137" t="s">
        <v>4339</v>
      </c>
      <c r="V463" s="137" t="s">
        <v>4285</v>
      </c>
      <c r="W463" s="137" t="s">
        <v>37</v>
      </c>
      <c r="X463" s="139">
        <v>44211</v>
      </c>
      <c r="Y463" s="137"/>
      <c r="Z463" s="358"/>
      <c r="AA463" s="1110"/>
    </row>
    <row r="464" spans="1:27" s="869" customFormat="1" ht="26.25" x14ac:dyDescent="0.25">
      <c r="A464" s="1140"/>
      <c r="B464" s="1141"/>
      <c r="C464" s="862"/>
      <c r="D464" s="862"/>
      <c r="E464" s="862"/>
      <c r="F464" s="862"/>
      <c r="G464" s="862"/>
      <c r="H464" s="862"/>
      <c r="I464" s="882"/>
      <c r="J464" s="501">
        <v>693</v>
      </c>
      <c r="K464" s="60" t="s">
        <v>3838</v>
      </c>
      <c r="L464" s="933">
        <v>1684044</v>
      </c>
      <c r="M464" s="933">
        <v>5352644</v>
      </c>
      <c r="N464" s="502" t="s">
        <v>4437</v>
      </c>
      <c r="O464" s="502" t="s">
        <v>5</v>
      </c>
      <c r="P464" s="502">
        <v>1</v>
      </c>
      <c r="Q464" s="502" t="s">
        <v>9254</v>
      </c>
      <c r="R464" s="60" t="s">
        <v>4549</v>
      </c>
      <c r="S464" s="61" t="s">
        <v>10</v>
      </c>
      <c r="T464" s="847" t="s">
        <v>4131</v>
      </c>
      <c r="U464" s="137" t="s">
        <v>4339</v>
      </c>
      <c r="V464" s="137" t="s">
        <v>4285</v>
      </c>
      <c r="W464" s="137" t="s">
        <v>37</v>
      </c>
      <c r="X464" s="139">
        <v>44211</v>
      </c>
      <c r="Y464" s="137"/>
      <c r="Z464" s="358"/>
      <c r="AA464" s="1110"/>
    </row>
    <row r="465" spans="1:27" s="869" customFormat="1" ht="26.25" x14ac:dyDescent="0.25">
      <c r="A465" s="1140"/>
      <c r="B465" s="1141"/>
      <c r="C465" s="862"/>
      <c r="D465" s="862"/>
      <c r="E465" s="862"/>
      <c r="F465" s="862"/>
      <c r="G465" s="862"/>
      <c r="H465" s="862"/>
      <c r="I465" s="882"/>
      <c r="J465" s="501">
        <v>694</v>
      </c>
      <c r="K465" s="60" t="s">
        <v>4348</v>
      </c>
      <c r="L465" s="933">
        <v>1683551</v>
      </c>
      <c r="M465" s="933">
        <v>5352426</v>
      </c>
      <c r="N465" s="502" t="s">
        <v>4438</v>
      </c>
      <c r="O465" s="502" t="s">
        <v>61</v>
      </c>
      <c r="P465" s="502" t="s">
        <v>419</v>
      </c>
      <c r="Q465" s="502" t="s">
        <v>4511</v>
      </c>
      <c r="R465" s="60" t="s">
        <v>4329</v>
      </c>
      <c r="S465" s="61" t="s">
        <v>10</v>
      </c>
      <c r="T465" s="847" t="s">
        <v>4528</v>
      </c>
      <c r="U465" s="137" t="s">
        <v>4339</v>
      </c>
      <c r="V465" s="137" t="s">
        <v>4285</v>
      </c>
      <c r="W465" s="137" t="s">
        <v>37</v>
      </c>
      <c r="X465" s="139">
        <v>44211</v>
      </c>
      <c r="Y465" s="137"/>
      <c r="Z465" s="358"/>
      <c r="AA465" s="1110"/>
    </row>
    <row r="466" spans="1:27" s="869" customFormat="1" ht="39" x14ac:dyDescent="0.25">
      <c r="A466" s="1140"/>
      <c r="B466" s="1141"/>
      <c r="C466" s="862"/>
      <c r="D466" s="862"/>
      <c r="E466" s="862"/>
      <c r="F466" s="862"/>
      <c r="G466" s="862"/>
      <c r="H466" s="862"/>
      <c r="I466" s="882"/>
      <c r="J466" s="501">
        <v>695</v>
      </c>
      <c r="K466" s="60" t="s">
        <v>4349</v>
      </c>
      <c r="L466" s="933">
        <v>1682962</v>
      </c>
      <c r="M466" s="933">
        <v>5352176</v>
      </c>
      <c r="N466" s="502" t="s">
        <v>4439</v>
      </c>
      <c r="O466" s="502" t="s">
        <v>61</v>
      </c>
      <c r="P466" s="502" t="s">
        <v>419</v>
      </c>
      <c r="Q466" s="502" t="s">
        <v>4512</v>
      </c>
      <c r="R466" s="60" t="s">
        <v>4329</v>
      </c>
      <c r="S466" s="61" t="s">
        <v>10</v>
      </c>
      <c r="T466" s="847" t="s">
        <v>4529</v>
      </c>
      <c r="U466" s="137" t="s">
        <v>4553</v>
      </c>
      <c r="V466" s="137" t="s">
        <v>4285</v>
      </c>
      <c r="W466" s="137" t="s">
        <v>37</v>
      </c>
      <c r="X466" s="139">
        <v>44211</v>
      </c>
      <c r="Y466" s="137"/>
      <c r="Z466" s="358"/>
      <c r="AA466" s="1110"/>
    </row>
    <row r="467" spans="1:27" s="869" customFormat="1" ht="26.25" x14ac:dyDescent="0.25">
      <c r="A467" s="1140"/>
      <c r="B467" s="1141"/>
      <c r="C467" s="862"/>
      <c r="D467" s="862"/>
      <c r="E467" s="862"/>
      <c r="F467" s="862"/>
      <c r="G467" s="862"/>
      <c r="H467" s="862"/>
      <c r="I467" s="882"/>
      <c r="J467" s="501">
        <v>696</v>
      </c>
      <c r="K467" s="60" t="s">
        <v>4350</v>
      </c>
      <c r="L467" s="933">
        <v>1682800</v>
      </c>
      <c r="M467" s="933">
        <v>5352084</v>
      </c>
      <c r="N467" s="502" t="s">
        <v>4440</v>
      </c>
      <c r="O467" s="502" t="s">
        <v>61</v>
      </c>
      <c r="P467" s="502" t="s">
        <v>419</v>
      </c>
      <c r="Q467" s="502" t="s">
        <v>4513</v>
      </c>
      <c r="R467" s="60" t="s">
        <v>4329</v>
      </c>
      <c r="S467" s="61" t="s">
        <v>10</v>
      </c>
      <c r="T467" s="847" t="s">
        <v>4528</v>
      </c>
      <c r="U467" s="137" t="s">
        <v>4339</v>
      </c>
      <c r="V467" s="137" t="s">
        <v>4285</v>
      </c>
      <c r="W467" s="137" t="s">
        <v>37</v>
      </c>
      <c r="X467" s="139">
        <v>44211</v>
      </c>
      <c r="Y467" s="137"/>
      <c r="Z467" s="358"/>
      <c r="AA467" s="1110"/>
    </row>
    <row r="468" spans="1:27" s="869" customFormat="1" ht="26.25" x14ac:dyDescent="0.25">
      <c r="A468" s="1140"/>
      <c r="B468" s="1141"/>
      <c r="C468" s="862"/>
      <c r="D468" s="862"/>
      <c r="E468" s="862"/>
      <c r="F468" s="862"/>
      <c r="G468" s="862"/>
      <c r="H468" s="862"/>
      <c r="I468" s="882"/>
      <c r="J468" s="501">
        <v>697</v>
      </c>
      <c r="K468" s="60" t="s">
        <v>3846</v>
      </c>
      <c r="L468" s="933">
        <v>1682677</v>
      </c>
      <c r="M468" s="933">
        <v>5352017</v>
      </c>
      <c r="N468" s="502" t="s">
        <v>4441</v>
      </c>
      <c r="O468" s="502" t="s">
        <v>5</v>
      </c>
      <c r="P468" s="502">
        <v>1</v>
      </c>
      <c r="Q468" s="502" t="s">
        <v>9255</v>
      </c>
      <c r="R468" s="60" t="s">
        <v>4549</v>
      </c>
      <c r="S468" s="61" t="s">
        <v>10</v>
      </c>
      <c r="T468" s="847" t="s">
        <v>4283</v>
      </c>
      <c r="U468" s="137" t="s">
        <v>4554</v>
      </c>
      <c r="V468" s="137" t="s">
        <v>4285</v>
      </c>
      <c r="W468" s="137" t="s">
        <v>37</v>
      </c>
      <c r="X468" s="139">
        <v>44211</v>
      </c>
      <c r="Y468" s="137"/>
      <c r="Z468" s="358"/>
      <c r="AA468" s="1110"/>
    </row>
    <row r="469" spans="1:27" s="869" customFormat="1" ht="26.25" x14ac:dyDescent="0.25">
      <c r="A469" s="1140"/>
      <c r="B469" s="1141"/>
      <c r="C469" s="862"/>
      <c r="D469" s="862"/>
      <c r="E469" s="862"/>
      <c r="F469" s="862"/>
      <c r="G469" s="862"/>
      <c r="H469" s="862"/>
      <c r="I469" s="882"/>
      <c r="J469" s="501">
        <v>698</v>
      </c>
      <c r="K469" s="60" t="s">
        <v>4351</v>
      </c>
      <c r="L469" s="933">
        <v>1682648</v>
      </c>
      <c r="M469" s="933">
        <v>5352011</v>
      </c>
      <c r="N469" s="502" t="s">
        <v>4442</v>
      </c>
      <c r="O469" s="502" t="s">
        <v>5</v>
      </c>
      <c r="P469" s="502">
        <v>1</v>
      </c>
      <c r="Q469" s="502" t="s">
        <v>9256</v>
      </c>
      <c r="R469" s="60" t="s">
        <v>4549</v>
      </c>
      <c r="S469" s="61" t="s">
        <v>10</v>
      </c>
      <c r="T469" s="849" t="s">
        <v>4530</v>
      </c>
      <c r="U469" s="137" t="s">
        <v>4555</v>
      </c>
      <c r="V469" s="137" t="s">
        <v>4285</v>
      </c>
      <c r="W469" s="137" t="s">
        <v>37</v>
      </c>
      <c r="X469" s="139">
        <v>44211</v>
      </c>
      <c r="Y469" s="137"/>
      <c r="Z469" s="358"/>
      <c r="AA469" s="1110"/>
    </row>
    <row r="470" spans="1:27" s="869" customFormat="1" ht="26.25" x14ac:dyDescent="0.25">
      <c r="A470" s="1140"/>
      <c r="B470" s="1141"/>
      <c r="C470" s="862"/>
      <c r="D470" s="862"/>
      <c r="E470" s="862"/>
      <c r="F470" s="862"/>
      <c r="G470" s="862"/>
      <c r="H470" s="862"/>
      <c r="I470" s="882"/>
      <c r="J470" s="501">
        <v>699</v>
      </c>
      <c r="K470" s="60" t="s">
        <v>4352</v>
      </c>
      <c r="L470" s="933">
        <v>1682634</v>
      </c>
      <c r="M470" s="933">
        <v>5352005</v>
      </c>
      <c r="N470" s="502" t="s">
        <v>4443</v>
      </c>
      <c r="O470" s="502" t="s">
        <v>5</v>
      </c>
      <c r="P470" s="502">
        <v>1</v>
      </c>
      <c r="Q470" s="502" t="s">
        <v>9257</v>
      </c>
      <c r="R470" s="60" t="s">
        <v>4549</v>
      </c>
      <c r="S470" s="61" t="s">
        <v>10</v>
      </c>
      <c r="T470" s="847" t="s">
        <v>4283</v>
      </c>
      <c r="U470" s="137" t="s">
        <v>4554</v>
      </c>
      <c r="V470" s="137" t="s">
        <v>4285</v>
      </c>
      <c r="W470" s="137" t="s">
        <v>37</v>
      </c>
      <c r="X470" s="139">
        <v>44211</v>
      </c>
      <c r="Y470" s="137"/>
      <c r="Z470" s="358"/>
      <c r="AA470" s="1110"/>
    </row>
    <row r="471" spans="1:27" s="869" customFormat="1" ht="26.25" x14ac:dyDescent="0.25">
      <c r="A471" s="1140"/>
      <c r="B471" s="1141"/>
      <c r="C471" s="862"/>
      <c r="D471" s="862"/>
      <c r="E471" s="862"/>
      <c r="F471" s="862"/>
      <c r="G471" s="862"/>
      <c r="H471" s="862"/>
      <c r="I471" s="882"/>
      <c r="J471" s="501">
        <v>700</v>
      </c>
      <c r="K471" s="60" t="s">
        <v>3847</v>
      </c>
      <c r="L471" s="933">
        <v>1682620</v>
      </c>
      <c r="M471" s="933">
        <v>5351990</v>
      </c>
      <c r="N471" s="502" t="s">
        <v>4444</v>
      </c>
      <c r="O471" s="502" t="s">
        <v>5</v>
      </c>
      <c r="P471" s="502">
        <v>1</v>
      </c>
      <c r="Q471" s="502" t="s">
        <v>9258</v>
      </c>
      <c r="R471" s="60" t="s">
        <v>4549</v>
      </c>
      <c r="S471" s="61" t="s">
        <v>10</v>
      </c>
      <c r="T471" s="847" t="s">
        <v>4531</v>
      </c>
      <c r="U471" s="137" t="s">
        <v>4554</v>
      </c>
      <c r="V471" s="137" t="s">
        <v>4285</v>
      </c>
      <c r="W471" s="137" t="s">
        <v>37</v>
      </c>
      <c r="X471" s="139">
        <v>44211</v>
      </c>
      <c r="Y471" s="137"/>
      <c r="Z471" s="358"/>
      <c r="AA471" s="1110"/>
    </row>
    <row r="472" spans="1:27" s="869" customFormat="1" ht="26.25" x14ac:dyDescent="0.25">
      <c r="A472" s="1140"/>
      <c r="B472" s="1141"/>
      <c r="C472" s="862"/>
      <c r="D472" s="862"/>
      <c r="E472" s="862"/>
      <c r="F472" s="862"/>
      <c r="G472" s="862"/>
      <c r="H472" s="862"/>
      <c r="I472" s="882"/>
      <c r="J472" s="501">
        <v>701</v>
      </c>
      <c r="K472" s="60" t="s">
        <v>4353</v>
      </c>
      <c r="L472" s="933">
        <v>1682261</v>
      </c>
      <c r="M472" s="933">
        <v>5351767</v>
      </c>
      <c r="N472" s="502" t="s">
        <v>4445</v>
      </c>
      <c r="O472" s="502" t="s">
        <v>5</v>
      </c>
      <c r="P472" s="502">
        <v>1</v>
      </c>
      <c r="Q472" s="502" t="s">
        <v>9259</v>
      </c>
      <c r="R472" s="60" t="s">
        <v>4549</v>
      </c>
      <c r="S472" s="61" t="s">
        <v>10</v>
      </c>
      <c r="T472" s="847" t="s">
        <v>4131</v>
      </c>
      <c r="U472" s="137" t="s">
        <v>4556</v>
      </c>
      <c r="V472" s="137" t="s">
        <v>4285</v>
      </c>
      <c r="W472" s="137" t="s">
        <v>37</v>
      </c>
      <c r="X472" s="139">
        <v>44211</v>
      </c>
      <c r="Y472" s="137"/>
      <c r="Z472" s="358"/>
      <c r="AA472" s="1110"/>
    </row>
    <row r="473" spans="1:27" s="869" customFormat="1" ht="26.25" x14ac:dyDescent="0.25">
      <c r="A473" s="1140"/>
      <c r="B473" s="1141"/>
      <c r="C473" s="862"/>
      <c r="D473" s="862"/>
      <c r="E473" s="862"/>
      <c r="F473" s="862"/>
      <c r="G473" s="862"/>
      <c r="H473" s="862"/>
      <c r="I473" s="882"/>
      <c r="J473" s="501">
        <v>702</v>
      </c>
      <c r="K473" s="60" t="s">
        <v>4354</v>
      </c>
      <c r="L473" s="933">
        <v>1681952</v>
      </c>
      <c r="M473" s="933">
        <v>5351628</v>
      </c>
      <c r="N473" s="502" t="s">
        <v>4444</v>
      </c>
      <c r="O473" s="502" t="s">
        <v>5</v>
      </c>
      <c r="P473" s="502">
        <v>1</v>
      </c>
      <c r="Q473" s="502" t="s">
        <v>9258</v>
      </c>
      <c r="R473" s="60" t="s">
        <v>4549</v>
      </c>
      <c r="S473" s="61" t="s">
        <v>10</v>
      </c>
      <c r="T473" s="847" t="s">
        <v>4131</v>
      </c>
      <c r="U473" s="137" t="s">
        <v>4556</v>
      </c>
      <c r="V473" s="137" t="s">
        <v>4285</v>
      </c>
      <c r="W473" s="137" t="s">
        <v>37</v>
      </c>
      <c r="X473" s="139">
        <v>44211</v>
      </c>
      <c r="Y473" s="137"/>
      <c r="Z473" s="358"/>
      <c r="AA473" s="1110"/>
    </row>
    <row r="474" spans="1:27" s="869" customFormat="1" ht="26.25" x14ac:dyDescent="0.25">
      <c r="A474" s="1140"/>
      <c r="B474" s="1141"/>
      <c r="C474" s="862"/>
      <c r="D474" s="862"/>
      <c r="E474" s="862"/>
      <c r="F474" s="862"/>
      <c r="G474" s="862"/>
      <c r="H474" s="862"/>
      <c r="I474" s="882"/>
      <c r="J474" s="501">
        <v>703</v>
      </c>
      <c r="K474" s="60" t="s">
        <v>4355</v>
      </c>
      <c r="L474" s="933">
        <v>1681662</v>
      </c>
      <c r="M474" s="933">
        <v>5351445</v>
      </c>
      <c r="N474" s="502" t="s">
        <v>4446</v>
      </c>
      <c r="O474" s="502" t="s">
        <v>5</v>
      </c>
      <c r="P474" s="502">
        <v>1</v>
      </c>
      <c r="Q474" s="502" t="s">
        <v>9260</v>
      </c>
      <c r="R474" s="60" t="s">
        <v>4549</v>
      </c>
      <c r="S474" s="61" t="s">
        <v>10</v>
      </c>
      <c r="T474" s="847" t="s">
        <v>4283</v>
      </c>
      <c r="U474" s="137" t="s">
        <v>4556</v>
      </c>
      <c r="V474" s="137" t="s">
        <v>4285</v>
      </c>
      <c r="W474" s="137" t="s">
        <v>37</v>
      </c>
      <c r="X474" s="139">
        <v>44211</v>
      </c>
      <c r="Y474" s="137"/>
      <c r="Z474" s="358"/>
      <c r="AA474" s="1110"/>
    </row>
    <row r="475" spans="1:27" s="869" customFormat="1" ht="26.25" x14ac:dyDescent="0.25">
      <c r="A475" s="1140"/>
      <c r="B475" s="1141"/>
      <c r="C475" s="862"/>
      <c r="D475" s="862"/>
      <c r="E475" s="862"/>
      <c r="F475" s="862"/>
      <c r="G475" s="862"/>
      <c r="H475" s="862"/>
      <c r="I475" s="882"/>
      <c r="J475" s="501">
        <v>704</v>
      </c>
      <c r="K475" s="60" t="s">
        <v>4356</v>
      </c>
      <c r="L475" s="933">
        <v>1681560</v>
      </c>
      <c r="M475" s="933">
        <v>5351407</v>
      </c>
      <c r="N475" s="502" t="s">
        <v>4447</v>
      </c>
      <c r="O475" s="502" t="s">
        <v>61</v>
      </c>
      <c r="P475" s="502" t="s">
        <v>419</v>
      </c>
      <c r="Q475" s="502" t="s">
        <v>4514</v>
      </c>
      <c r="R475" s="60" t="s">
        <v>4329</v>
      </c>
      <c r="S475" s="61" t="s">
        <v>10</v>
      </c>
      <c r="T475" s="847" t="s">
        <v>4532</v>
      </c>
      <c r="U475" s="137" t="s">
        <v>4339</v>
      </c>
      <c r="V475" s="137" t="s">
        <v>4285</v>
      </c>
      <c r="W475" s="137" t="s">
        <v>37</v>
      </c>
      <c r="X475" s="139">
        <v>44211</v>
      </c>
      <c r="Y475" s="137"/>
      <c r="Z475" s="358"/>
      <c r="AA475" s="1110"/>
    </row>
    <row r="476" spans="1:27" s="869" customFormat="1" ht="26.25" x14ac:dyDescent="0.25">
      <c r="A476" s="1140"/>
      <c r="B476" s="1141"/>
      <c r="C476" s="862"/>
      <c r="D476" s="862"/>
      <c r="E476" s="862"/>
      <c r="F476" s="862"/>
      <c r="G476" s="862"/>
      <c r="H476" s="862"/>
      <c r="I476" s="882"/>
      <c r="J476" s="501">
        <v>706</v>
      </c>
      <c r="K476" s="60" t="s">
        <v>4359</v>
      </c>
      <c r="L476" s="933">
        <v>1681560</v>
      </c>
      <c r="M476" s="933">
        <v>5351407</v>
      </c>
      <c r="N476" s="502" t="s">
        <v>4448</v>
      </c>
      <c r="O476" s="502" t="s">
        <v>5</v>
      </c>
      <c r="P476" s="502">
        <v>1</v>
      </c>
      <c r="Q476" s="502" t="s">
        <v>9261</v>
      </c>
      <c r="R476" s="60" t="s">
        <v>4549</v>
      </c>
      <c r="S476" s="61" t="s">
        <v>10</v>
      </c>
      <c r="T476" s="847" t="s">
        <v>4527</v>
      </c>
      <c r="U476" s="137" t="s">
        <v>4339</v>
      </c>
      <c r="V476" s="137" t="s">
        <v>4285</v>
      </c>
      <c r="W476" s="137" t="s">
        <v>37</v>
      </c>
      <c r="X476" s="139">
        <v>44211</v>
      </c>
      <c r="Y476" s="137"/>
      <c r="Z476" s="358"/>
      <c r="AA476" s="1110"/>
    </row>
    <row r="477" spans="1:27" s="869" customFormat="1" ht="26.25" x14ac:dyDescent="0.25">
      <c r="A477" s="1140"/>
      <c r="B477" s="1141"/>
      <c r="C477" s="862"/>
      <c r="D477" s="862"/>
      <c r="E477" s="862"/>
      <c r="F477" s="862"/>
      <c r="G477" s="862"/>
      <c r="H477" s="862"/>
      <c r="I477" s="882"/>
      <c r="J477" s="501">
        <v>707</v>
      </c>
      <c r="K477" s="60" t="s">
        <v>4360</v>
      </c>
      <c r="L477" s="933">
        <v>1681560</v>
      </c>
      <c r="M477" s="933">
        <v>5351407</v>
      </c>
      <c r="N477" s="502" t="s">
        <v>4449</v>
      </c>
      <c r="O477" s="502" t="s">
        <v>5</v>
      </c>
      <c r="P477" s="502">
        <v>1</v>
      </c>
      <c r="Q477" s="502" t="s">
        <v>9262</v>
      </c>
      <c r="R477" s="60" t="s">
        <v>4549</v>
      </c>
      <c r="S477" s="61" t="s">
        <v>10</v>
      </c>
      <c r="T477" s="847" t="s">
        <v>4527</v>
      </c>
      <c r="U477" s="137" t="s">
        <v>4339</v>
      </c>
      <c r="V477" s="137" t="s">
        <v>4285</v>
      </c>
      <c r="W477" s="137" t="s">
        <v>37</v>
      </c>
      <c r="X477" s="139">
        <v>44211</v>
      </c>
      <c r="Y477" s="137"/>
      <c r="Z477" s="358"/>
      <c r="AA477" s="1110"/>
    </row>
    <row r="478" spans="1:27" s="869" customFormat="1" ht="26.25" x14ac:dyDescent="0.25">
      <c r="A478" s="1140"/>
      <c r="B478" s="1141"/>
      <c r="C478" s="862"/>
      <c r="D478" s="862"/>
      <c r="E478" s="862"/>
      <c r="F478" s="862"/>
      <c r="G478" s="862"/>
      <c r="H478" s="862"/>
      <c r="I478" s="882"/>
      <c r="J478" s="501">
        <v>708</v>
      </c>
      <c r="K478" s="60" t="s">
        <v>4361</v>
      </c>
      <c r="L478" s="933">
        <v>1681281</v>
      </c>
      <c r="M478" s="933">
        <v>5351269</v>
      </c>
      <c r="N478" s="502" t="s">
        <v>4450</v>
      </c>
      <c r="O478" s="502" t="s">
        <v>5</v>
      </c>
      <c r="P478" s="502">
        <v>1</v>
      </c>
      <c r="Q478" s="502" t="s">
        <v>9263</v>
      </c>
      <c r="R478" s="60" t="s">
        <v>4549</v>
      </c>
      <c r="S478" s="61" t="s">
        <v>10</v>
      </c>
      <c r="T478" s="847" t="s">
        <v>4131</v>
      </c>
      <c r="U478" s="137" t="s">
        <v>4556</v>
      </c>
      <c r="V478" s="137" t="s">
        <v>4285</v>
      </c>
      <c r="W478" s="137" t="s">
        <v>37</v>
      </c>
      <c r="X478" s="139">
        <v>44211</v>
      </c>
      <c r="Y478" s="137"/>
      <c r="Z478" s="358"/>
      <c r="AA478" s="1110"/>
    </row>
    <row r="479" spans="1:27" s="869" customFormat="1" ht="26.25" x14ac:dyDescent="0.25">
      <c r="A479" s="1140"/>
      <c r="B479" s="1141"/>
      <c r="C479" s="862"/>
      <c r="D479" s="862"/>
      <c r="E479" s="862"/>
      <c r="F479" s="862"/>
      <c r="G479" s="862"/>
      <c r="H479" s="862"/>
      <c r="I479" s="882"/>
      <c r="J479" s="501">
        <v>709</v>
      </c>
      <c r="K479" s="60" t="s">
        <v>4362</v>
      </c>
      <c r="L479" s="933">
        <v>1681061</v>
      </c>
      <c r="M479" s="933">
        <v>5351151</v>
      </c>
      <c r="N479" s="502" t="s">
        <v>4451</v>
      </c>
      <c r="O479" s="502" t="s">
        <v>5</v>
      </c>
      <c r="P479" s="502">
        <v>1</v>
      </c>
      <c r="Q479" s="502" t="s">
        <v>9264</v>
      </c>
      <c r="R479" s="60" t="s">
        <v>4549</v>
      </c>
      <c r="S479" s="61" t="s">
        <v>10</v>
      </c>
      <c r="T479" s="847" t="s">
        <v>4131</v>
      </c>
      <c r="U479" s="137" t="s">
        <v>4556</v>
      </c>
      <c r="V479" s="137" t="s">
        <v>4285</v>
      </c>
      <c r="W479" s="137" t="s">
        <v>37</v>
      </c>
      <c r="X479" s="139">
        <v>44211</v>
      </c>
      <c r="Y479" s="137"/>
      <c r="Z479" s="358"/>
      <c r="AA479" s="1110"/>
    </row>
    <row r="480" spans="1:27" s="869" customFormat="1" ht="26.25" x14ac:dyDescent="0.25">
      <c r="A480" s="1140"/>
      <c r="B480" s="1141"/>
      <c r="C480" s="862"/>
      <c r="D480" s="862"/>
      <c r="E480" s="862"/>
      <c r="F480" s="862"/>
      <c r="G480" s="862"/>
      <c r="H480" s="862"/>
      <c r="I480" s="882"/>
      <c r="J480" s="501">
        <v>710</v>
      </c>
      <c r="K480" s="60" t="s">
        <v>4363</v>
      </c>
      <c r="L480" s="933">
        <v>1680961</v>
      </c>
      <c r="M480" s="933">
        <v>5351121</v>
      </c>
      <c r="N480" s="502" t="s">
        <v>4452</v>
      </c>
      <c r="O480" s="502" t="s">
        <v>5</v>
      </c>
      <c r="P480" s="502">
        <v>1</v>
      </c>
      <c r="Q480" s="502" t="s">
        <v>9265</v>
      </c>
      <c r="R480" s="60" t="s">
        <v>4549</v>
      </c>
      <c r="S480" s="61" t="s">
        <v>10</v>
      </c>
      <c r="T480" s="847" t="s">
        <v>4131</v>
      </c>
      <c r="U480" s="137" t="s">
        <v>4556</v>
      </c>
      <c r="V480" s="137" t="s">
        <v>4285</v>
      </c>
      <c r="W480" s="137" t="s">
        <v>37</v>
      </c>
      <c r="X480" s="139">
        <v>44211</v>
      </c>
      <c r="Y480" s="137"/>
      <c r="Z480" s="358"/>
      <c r="AA480" s="1110"/>
    </row>
    <row r="481" spans="1:27" s="869" customFormat="1" ht="26.25" x14ac:dyDescent="0.25">
      <c r="A481" s="1140"/>
      <c r="B481" s="1141"/>
      <c r="C481" s="862"/>
      <c r="D481" s="862"/>
      <c r="E481" s="862"/>
      <c r="F481" s="862"/>
      <c r="G481" s="862"/>
      <c r="H481" s="862"/>
      <c r="I481" s="882"/>
      <c r="J481" s="501">
        <v>711</v>
      </c>
      <c r="K481" s="60" t="s">
        <v>4364</v>
      </c>
      <c r="L481" s="933">
        <v>1680923</v>
      </c>
      <c r="M481" s="933">
        <v>5351120</v>
      </c>
      <c r="N481" s="502" t="s">
        <v>4453</v>
      </c>
      <c r="O481" s="502" t="s">
        <v>5</v>
      </c>
      <c r="P481" s="502">
        <v>1</v>
      </c>
      <c r="Q481" s="502" t="s">
        <v>9266</v>
      </c>
      <c r="R481" s="60" t="s">
        <v>4549</v>
      </c>
      <c r="S481" s="61" t="s">
        <v>10</v>
      </c>
      <c r="T481" s="847" t="s">
        <v>4131</v>
      </c>
      <c r="U481" s="137" t="s">
        <v>4339</v>
      </c>
      <c r="V481" s="137" t="s">
        <v>4285</v>
      </c>
      <c r="W481" s="137" t="s">
        <v>37</v>
      </c>
      <c r="X481" s="139">
        <v>44211</v>
      </c>
      <c r="Y481" s="137"/>
      <c r="Z481" s="358"/>
      <c r="AA481" s="1110"/>
    </row>
    <row r="482" spans="1:27" s="869" customFormat="1" ht="26.25" x14ac:dyDescent="0.25">
      <c r="A482" s="1140"/>
      <c r="B482" s="1141"/>
      <c r="C482" s="862"/>
      <c r="D482" s="862"/>
      <c r="E482" s="862"/>
      <c r="F482" s="862"/>
      <c r="G482" s="862"/>
      <c r="H482" s="862"/>
      <c r="I482" s="882"/>
      <c r="J482" s="501">
        <v>712</v>
      </c>
      <c r="K482" s="60" t="s">
        <v>4365</v>
      </c>
      <c r="L482" s="933">
        <v>1680885</v>
      </c>
      <c r="M482" s="933">
        <v>5351099</v>
      </c>
      <c r="N482" s="502" t="s">
        <v>4454</v>
      </c>
      <c r="O482" s="502" t="s">
        <v>5</v>
      </c>
      <c r="P482" s="502">
        <v>1</v>
      </c>
      <c r="Q482" s="502" t="s">
        <v>9267</v>
      </c>
      <c r="R482" s="60" t="s">
        <v>4549</v>
      </c>
      <c r="S482" s="61" t="s">
        <v>10</v>
      </c>
      <c r="T482" s="847" t="s">
        <v>261</v>
      </c>
      <c r="U482" s="137" t="s">
        <v>4555</v>
      </c>
      <c r="V482" s="137" t="s">
        <v>4285</v>
      </c>
      <c r="W482" s="137" t="s">
        <v>37</v>
      </c>
      <c r="X482" s="139">
        <v>44211</v>
      </c>
      <c r="Y482" s="137"/>
      <c r="Z482" s="358"/>
      <c r="AA482" s="1110"/>
    </row>
    <row r="483" spans="1:27" s="869" customFormat="1" ht="26.25" x14ac:dyDescent="0.25">
      <c r="A483" s="1140"/>
      <c r="B483" s="1141"/>
      <c r="C483" s="862"/>
      <c r="D483" s="862"/>
      <c r="E483" s="862"/>
      <c r="F483" s="862"/>
      <c r="G483" s="862"/>
      <c r="H483" s="862"/>
      <c r="I483" s="882"/>
      <c r="J483" s="501">
        <v>713</v>
      </c>
      <c r="K483" s="60" t="s">
        <v>4366</v>
      </c>
      <c r="L483" s="933">
        <v>1680860</v>
      </c>
      <c r="M483" s="933">
        <v>5351080</v>
      </c>
      <c r="N483" s="502" t="s">
        <v>4327</v>
      </c>
      <c r="O483" s="502" t="s">
        <v>5</v>
      </c>
      <c r="P483" s="502">
        <v>1</v>
      </c>
      <c r="Q483" s="502" t="s">
        <v>8878</v>
      </c>
      <c r="R483" s="60" t="s">
        <v>4549</v>
      </c>
      <c r="S483" s="61" t="s">
        <v>10</v>
      </c>
      <c r="T483" s="847" t="s">
        <v>4533</v>
      </c>
      <c r="U483" s="137" t="s">
        <v>4555</v>
      </c>
      <c r="V483" s="137" t="s">
        <v>4285</v>
      </c>
      <c r="W483" s="137" t="s">
        <v>37</v>
      </c>
      <c r="X483" s="139">
        <v>44211</v>
      </c>
      <c r="Y483" s="137"/>
      <c r="Z483" s="358"/>
      <c r="AA483" s="1110"/>
    </row>
    <row r="484" spans="1:27" s="869" customFormat="1" ht="26.25" x14ac:dyDescent="0.25">
      <c r="A484" s="1140"/>
      <c r="B484" s="1141"/>
      <c r="C484" s="862"/>
      <c r="D484" s="862"/>
      <c r="E484" s="862"/>
      <c r="F484" s="862"/>
      <c r="G484" s="862"/>
      <c r="H484" s="862"/>
      <c r="I484" s="882"/>
      <c r="J484" s="501">
        <v>714</v>
      </c>
      <c r="K484" s="60" t="s">
        <v>4367</v>
      </c>
      <c r="L484" s="933">
        <v>1680725</v>
      </c>
      <c r="M484" s="933">
        <v>5350996</v>
      </c>
      <c r="N484" s="502" t="s">
        <v>4455</v>
      </c>
      <c r="O484" s="502" t="s">
        <v>5</v>
      </c>
      <c r="P484" s="502">
        <v>1</v>
      </c>
      <c r="Q484" s="502" t="s">
        <v>9068</v>
      </c>
      <c r="R484" s="60" t="s">
        <v>4549</v>
      </c>
      <c r="S484" s="61" t="s">
        <v>10</v>
      </c>
      <c r="T484" s="847" t="s">
        <v>261</v>
      </c>
      <c r="U484" s="137" t="s">
        <v>4555</v>
      </c>
      <c r="V484" s="137" t="s">
        <v>4285</v>
      </c>
      <c r="W484" s="137" t="s">
        <v>37</v>
      </c>
      <c r="X484" s="139">
        <v>44211</v>
      </c>
      <c r="Y484" s="137"/>
      <c r="Z484" s="358"/>
      <c r="AA484" s="1110"/>
    </row>
    <row r="485" spans="1:27" s="869" customFormat="1" ht="26.25" x14ac:dyDescent="0.25">
      <c r="A485" s="1140"/>
      <c r="B485" s="1141"/>
      <c r="C485" s="862"/>
      <c r="D485" s="862"/>
      <c r="E485" s="862"/>
      <c r="F485" s="862"/>
      <c r="G485" s="862"/>
      <c r="H485" s="862"/>
      <c r="I485" s="882"/>
      <c r="J485" s="501">
        <v>715</v>
      </c>
      <c r="K485" s="60" t="s">
        <v>4368</v>
      </c>
      <c r="L485" s="933">
        <v>1680692</v>
      </c>
      <c r="M485" s="933">
        <v>5350970</v>
      </c>
      <c r="N485" s="502" t="s">
        <v>4456</v>
      </c>
      <c r="O485" s="502" t="s">
        <v>5</v>
      </c>
      <c r="P485" s="502">
        <v>1</v>
      </c>
      <c r="Q485" s="502" t="s">
        <v>9268</v>
      </c>
      <c r="R485" s="60" t="s">
        <v>4549</v>
      </c>
      <c r="S485" s="61" t="s">
        <v>10</v>
      </c>
      <c r="T485" s="847" t="s">
        <v>261</v>
      </c>
      <c r="U485" s="137" t="s">
        <v>4555</v>
      </c>
      <c r="V485" s="137" t="s">
        <v>4285</v>
      </c>
      <c r="W485" s="137" t="s">
        <v>37</v>
      </c>
      <c r="X485" s="139">
        <v>44211</v>
      </c>
      <c r="Y485" s="137"/>
      <c r="Z485" s="358"/>
      <c r="AA485" s="1110"/>
    </row>
    <row r="486" spans="1:27" s="869" customFormat="1" ht="26.25" x14ac:dyDescent="0.25">
      <c r="A486" s="1140"/>
      <c r="B486" s="1141"/>
      <c r="C486" s="862"/>
      <c r="D486" s="862"/>
      <c r="E486" s="862"/>
      <c r="F486" s="862"/>
      <c r="G486" s="862"/>
      <c r="H486" s="862"/>
      <c r="I486" s="882"/>
      <c r="J486" s="501">
        <v>716</v>
      </c>
      <c r="K486" s="60" t="s">
        <v>4357</v>
      </c>
      <c r="L486" s="933">
        <v>1680613</v>
      </c>
      <c r="M486" s="933">
        <v>5350910</v>
      </c>
      <c r="N486" s="502" t="s">
        <v>4457</v>
      </c>
      <c r="O486" s="502" t="s">
        <v>5</v>
      </c>
      <c r="P486" s="502">
        <v>1</v>
      </c>
      <c r="Q486" s="502" t="s">
        <v>9269</v>
      </c>
      <c r="R486" s="60" t="s">
        <v>4549</v>
      </c>
      <c r="S486" s="61" t="s">
        <v>10</v>
      </c>
      <c r="T486" s="847" t="s">
        <v>4131</v>
      </c>
      <c r="U486" s="137" t="s">
        <v>4339</v>
      </c>
      <c r="V486" s="137" t="s">
        <v>4285</v>
      </c>
      <c r="W486" s="137" t="s">
        <v>37</v>
      </c>
      <c r="X486" s="139">
        <v>44211</v>
      </c>
      <c r="Y486" s="137"/>
      <c r="Z486" s="358"/>
      <c r="AA486" s="1110"/>
    </row>
    <row r="487" spans="1:27" s="869" customFormat="1" ht="39" x14ac:dyDescent="0.25">
      <c r="A487" s="1140"/>
      <c r="B487" s="1141"/>
      <c r="C487" s="862"/>
      <c r="D487" s="862"/>
      <c r="E487" s="862"/>
      <c r="F487" s="862"/>
      <c r="G487" s="862"/>
      <c r="H487" s="862"/>
      <c r="I487" s="882"/>
      <c r="J487" s="501">
        <v>717</v>
      </c>
      <c r="K487" s="60" t="s">
        <v>4369</v>
      </c>
      <c r="L487" s="933">
        <v>1680538</v>
      </c>
      <c r="M487" s="933">
        <v>5350881</v>
      </c>
      <c r="N487" s="502" t="s">
        <v>4458</v>
      </c>
      <c r="O487" s="502" t="s">
        <v>61</v>
      </c>
      <c r="P487" s="502" t="s">
        <v>419</v>
      </c>
      <c r="Q487" s="502" t="s">
        <v>4515</v>
      </c>
      <c r="R487" s="60" t="s">
        <v>4329</v>
      </c>
      <c r="S487" s="61" t="s">
        <v>10</v>
      </c>
      <c r="T487" s="847" t="s">
        <v>4534</v>
      </c>
      <c r="U487" s="137" t="s">
        <v>4341</v>
      </c>
      <c r="V487" s="137" t="s">
        <v>4285</v>
      </c>
      <c r="W487" s="137" t="s">
        <v>37</v>
      </c>
      <c r="X487" s="139">
        <v>44211</v>
      </c>
      <c r="Y487" s="137"/>
      <c r="Z487" s="358"/>
      <c r="AA487" s="1110"/>
    </row>
    <row r="488" spans="1:27" s="869" customFormat="1" ht="26.25" x14ac:dyDescent="0.25">
      <c r="A488" s="1140"/>
      <c r="B488" s="1141"/>
      <c r="C488" s="862"/>
      <c r="D488" s="862"/>
      <c r="E488" s="862"/>
      <c r="F488" s="862"/>
      <c r="G488" s="862"/>
      <c r="H488" s="862"/>
      <c r="I488" s="882"/>
      <c r="J488" s="501">
        <v>718</v>
      </c>
      <c r="K488" s="60" t="s">
        <v>4358</v>
      </c>
      <c r="L488" s="933">
        <v>1680449</v>
      </c>
      <c r="M488" s="933">
        <v>5350809</v>
      </c>
      <c r="N488" s="502" t="s">
        <v>4459</v>
      </c>
      <c r="O488" s="502" t="s">
        <v>5</v>
      </c>
      <c r="P488" s="502">
        <v>1</v>
      </c>
      <c r="Q488" s="502" t="s">
        <v>9270</v>
      </c>
      <c r="R488" s="60" t="s">
        <v>4549</v>
      </c>
      <c r="S488" s="61" t="s">
        <v>10</v>
      </c>
      <c r="T488" s="847" t="s">
        <v>4535</v>
      </c>
      <c r="U488" s="137" t="s">
        <v>4555</v>
      </c>
      <c r="V488" s="137" t="s">
        <v>4285</v>
      </c>
      <c r="W488" s="137" t="s">
        <v>37</v>
      </c>
      <c r="X488" s="139">
        <v>44211</v>
      </c>
      <c r="Y488" s="137"/>
      <c r="Z488" s="358"/>
      <c r="AA488" s="1110"/>
    </row>
    <row r="489" spans="1:27" s="869" customFormat="1" ht="39" x14ac:dyDescent="0.25">
      <c r="A489" s="1140"/>
      <c r="B489" s="1141"/>
      <c r="C489" s="862"/>
      <c r="D489" s="862"/>
      <c r="E489" s="862"/>
      <c r="F489" s="862"/>
      <c r="G489" s="862"/>
      <c r="H489" s="862"/>
      <c r="I489" s="882"/>
      <c r="J489" s="501">
        <v>719</v>
      </c>
      <c r="K489" s="60" t="s">
        <v>4370</v>
      </c>
      <c r="L489" s="933">
        <v>1680073</v>
      </c>
      <c r="M489" s="933">
        <v>5350487</v>
      </c>
      <c r="N489" s="502" t="s">
        <v>4460</v>
      </c>
      <c r="O489" s="502" t="s">
        <v>61</v>
      </c>
      <c r="P489" s="502" t="s">
        <v>419</v>
      </c>
      <c r="Q489" s="502" t="s">
        <v>4516</v>
      </c>
      <c r="R489" s="60" t="s">
        <v>4329</v>
      </c>
      <c r="S489" s="61" t="s">
        <v>10</v>
      </c>
      <c r="T489" s="847" t="s">
        <v>4536</v>
      </c>
      <c r="U489" s="137" t="s">
        <v>4341</v>
      </c>
      <c r="V489" s="137" t="s">
        <v>4285</v>
      </c>
      <c r="W489" s="137" t="s">
        <v>37</v>
      </c>
      <c r="X489" s="139">
        <v>44211</v>
      </c>
      <c r="Y489" s="137"/>
      <c r="Z489" s="358"/>
      <c r="AA489" s="1110"/>
    </row>
    <row r="490" spans="1:27" s="869" customFormat="1" ht="26.25" x14ac:dyDescent="0.25">
      <c r="A490" s="1140"/>
      <c r="B490" s="1141"/>
      <c r="C490" s="862"/>
      <c r="D490" s="862"/>
      <c r="E490" s="862"/>
      <c r="F490" s="862"/>
      <c r="G490" s="862"/>
      <c r="H490" s="862"/>
      <c r="I490" s="882"/>
      <c r="J490" s="501">
        <v>720</v>
      </c>
      <c r="K490" s="60" t="s">
        <v>4371</v>
      </c>
      <c r="L490" s="933">
        <v>1679906</v>
      </c>
      <c r="M490" s="933">
        <v>5350413</v>
      </c>
      <c r="N490" s="502" t="s">
        <v>4461</v>
      </c>
      <c r="O490" s="502" t="s">
        <v>5</v>
      </c>
      <c r="P490" s="502">
        <v>1</v>
      </c>
      <c r="Q490" s="502" t="s">
        <v>9271</v>
      </c>
      <c r="R490" s="60" t="s">
        <v>4549</v>
      </c>
      <c r="S490" s="61" t="s">
        <v>10</v>
      </c>
      <c r="T490" s="847" t="s">
        <v>4131</v>
      </c>
      <c r="U490" s="137" t="s">
        <v>4339</v>
      </c>
      <c r="V490" s="137" t="s">
        <v>4285</v>
      </c>
      <c r="W490" s="137" t="s">
        <v>37</v>
      </c>
      <c r="X490" s="139">
        <v>44211</v>
      </c>
      <c r="Y490" s="137"/>
      <c r="Z490" s="358"/>
      <c r="AA490" s="1110"/>
    </row>
    <row r="491" spans="1:27" s="869" customFormat="1" ht="26.25" x14ac:dyDescent="0.25">
      <c r="A491" s="1140"/>
      <c r="B491" s="1141"/>
      <c r="C491" s="862"/>
      <c r="D491" s="862"/>
      <c r="E491" s="862"/>
      <c r="F491" s="862"/>
      <c r="G491" s="862"/>
      <c r="H491" s="862"/>
      <c r="I491" s="882"/>
      <c r="J491" s="501">
        <v>721</v>
      </c>
      <c r="K491" s="60" t="s">
        <v>4372</v>
      </c>
      <c r="L491" s="933">
        <v>1679901</v>
      </c>
      <c r="M491" s="933">
        <v>5350411</v>
      </c>
      <c r="N491" s="502" t="s">
        <v>4462</v>
      </c>
      <c r="O491" s="502" t="s">
        <v>61</v>
      </c>
      <c r="P491" s="502" t="s">
        <v>419</v>
      </c>
      <c r="Q491" s="502" t="s">
        <v>4517</v>
      </c>
      <c r="R491" s="60" t="s">
        <v>4329</v>
      </c>
      <c r="S491" s="61" t="s">
        <v>10</v>
      </c>
      <c r="T491" s="847" t="s">
        <v>4537</v>
      </c>
      <c r="U491" s="137" t="s">
        <v>4555</v>
      </c>
      <c r="V491" s="137" t="s">
        <v>4285</v>
      </c>
      <c r="W491" s="137" t="s">
        <v>37</v>
      </c>
      <c r="X491" s="139">
        <v>44211</v>
      </c>
      <c r="Y491" s="137"/>
      <c r="Z491" s="358"/>
      <c r="AA491" s="1110"/>
    </row>
    <row r="492" spans="1:27" s="869" customFormat="1" ht="26.25" x14ac:dyDescent="0.25">
      <c r="A492" s="1140"/>
      <c r="B492" s="1141"/>
      <c r="C492" s="862"/>
      <c r="D492" s="862"/>
      <c r="E492" s="862"/>
      <c r="F492" s="862"/>
      <c r="G492" s="862"/>
      <c r="H492" s="862"/>
      <c r="I492" s="882"/>
      <c r="J492" s="501">
        <v>722</v>
      </c>
      <c r="K492" s="60" t="s">
        <v>4373</v>
      </c>
      <c r="L492" s="933">
        <v>1679800</v>
      </c>
      <c r="M492" s="933">
        <v>5350359</v>
      </c>
      <c r="N492" s="502" t="s">
        <v>4463</v>
      </c>
      <c r="O492" s="502" t="s">
        <v>5</v>
      </c>
      <c r="P492" s="502">
        <v>1</v>
      </c>
      <c r="Q492" s="502" t="s">
        <v>9272</v>
      </c>
      <c r="R492" s="60" t="s">
        <v>4549</v>
      </c>
      <c r="S492" s="61" t="s">
        <v>10</v>
      </c>
      <c r="T492" s="847" t="s">
        <v>4131</v>
      </c>
      <c r="U492" s="137" t="s">
        <v>4339</v>
      </c>
      <c r="V492" s="137" t="s">
        <v>4285</v>
      </c>
      <c r="W492" s="137" t="s">
        <v>37</v>
      </c>
      <c r="X492" s="139">
        <v>44211</v>
      </c>
      <c r="Y492" s="137"/>
      <c r="Z492" s="358"/>
      <c r="AA492" s="1110"/>
    </row>
    <row r="493" spans="1:27" s="869" customFormat="1" ht="26.25" x14ac:dyDescent="0.25">
      <c r="A493" s="1140"/>
      <c r="B493" s="1141"/>
      <c r="C493" s="862"/>
      <c r="D493" s="862"/>
      <c r="E493" s="862"/>
      <c r="F493" s="862"/>
      <c r="G493" s="862"/>
      <c r="H493" s="862"/>
      <c r="I493" s="882"/>
      <c r="J493" s="501">
        <v>723</v>
      </c>
      <c r="K493" s="60" t="s">
        <v>4374</v>
      </c>
      <c r="L493" s="933">
        <v>1679672</v>
      </c>
      <c r="M493" s="933">
        <v>5350282</v>
      </c>
      <c r="N493" s="502" t="s">
        <v>4464</v>
      </c>
      <c r="O493" s="502" t="s">
        <v>5</v>
      </c>
      <c r="P493" s="502">
        <v>1</v>
      </c>
      <c r="Q493" s="502" t="s">
        <v>9273</v>
      </c>
      <c r="R493" s="60" t="s">
        <v>4549</v>
      </c>
      <c r="S493" s="61" t="s">
        <v>10</v>
      </c>
      <c r="T493" s="847" t="s">
        <v>4131</v>
      </c>
      <c r="U493" s="137" t="s">
        <v>4339</v>
      </c>
      <c r="V493" s="137" t="s">
        <v>4285</v>
      </c>
      <c r="W493" s="137" t="s">
        <v>37</v>
      </c>
      <c r="X493" s="139">
        <v>44211</v>
      </c>
      <c r="Y493" s="137"/>
      <c r="Z493" s="358"/>
      <c r="AA493" s="1110"/>
    </row>
    <row r="494" spans="1:27" s="869" customFormat="1" ht="26.25" x14ac:dyDescent="0.25">
      <c r="A494" s="1140"/>
      <c r="B494" s="1141"/>
      <c r="C494" s="862"/>
      <c r="D494" s="862"/>
      <c r="E494" s="862"/>
      <c r="F494" s="862"/>
      <c r="G494" s="862"/>
      <c r="H494" s="862"/>
      <c r="I494" s="882"/>
      <c r="J494" s="501">
        <v>724</v>
      </c>
      <c r="K494" s="60" t="s">
        <v>4375</v>
      </c>
      <c r="L494" s="933">
        <v>1679261</v>
      </c>
      <c r="M494" s="933">
        <v>5349912</v>
      </c>
      <c r="N494" s="502" t="s">
        <v>4465</v>
      </c>
      <c r="O494" s="502" t="s">
        <v>5</v>
      </c>
      <c r="P494" s="502">
        <v>1</v>
      </c>
      <c r="Q494" s="502" t="s">
        <v>9274</v>
      </c>
      <c r="R494" s="60" t="s">
        <v>4549</v>
      </c>
      <c r="S494" s="61" t="s">
        <v>10</v>
      </c>
      <c r="T494" s="847" t="s">
        <v>4131</v>
      </c>
      <c r="U494" s="137" t="s">
        <v>4339</v>
      </c>
      <c r="V494" s="137" t="s">
        <v>4285</v>
      </c>
      <c r="W494" s="137" t="s">
        <v>37</v>
      </c>
      <c r="X494" s="139">
        <v>44211</v>
      </c>
      <c r="Y494" s="137"/>
      <c r="Z494" s="358"/>
      <c r="AA494" s="1110"/>
    </row>
    <row r="495" spans="1:27" s="869" customFormat="1" ht="26.25" x14ac:dyDescent="0.25">
      <c r="A495" s="1140"/>
      <c r="B495" s="1141"/>
      <c r="C495" s="862"/>
      <c r="D495" s="862"/>
      <c r="E495" s="862"/>
      <c r="F495" s="862"/>
      <c r="G495" s="862"/>
      <c r="H495" s="862"/>
      <c r="I495" s="882"/>
      <c r="J495" s="501">
        <v>725</v>
      </c>
      <c r="K495" s="60" t="s">
        <v>4376</v>
      </c>
      <c r="L495" s="933">
        <v>1679139</v>
      </c>
      <c r="M495" s="933">
        <v>5349827</v>
      </c>
      <c r="N495" s="502" t="s">
        <v>1750</v>
      </c>
      <c r="O495" s="502" t="s">
        <v>5</v>
      </c>
      <c r="P495" s="502">
        <v>1</v>
      </c>
      <c r="Q495" s="502" t="s">
        <v>9275</v>
      </c>
      <c r="R495" s="60" t="s">
        <v>4549</v>
      </c>
      <c r="S495" s="61" t="s">
        <v>10</v>
      </c>
      <c r="T495" s="847" t="s">
        <v>4131</v>
      </c>
      <c r="U495" s="137" t="s">
        <v>4339</v>
      </c>
      <c r="V495" s="137" t="s">
        <v>4285</v>
      </c>
      <c r="W495" s="137" t="s">
        <v>37</v>
      </c>
      <c r="X495" s="139">
        <v>44211</v>
      </c>
      <c r="Y495" s="137"/>
      <c r="Z495" s="358"/>
      <c r="AA495" s="1110"/>
    </row>
    <row r="496" spans="1:27" s="869" customFormat="1" ht="26.25" x14ac:dyDescent="0.25">
      <c r="A496" s="1140"/>
      <c r="B496" s="1141"/>
      <c r="C496" s="862"/>
      <c r="D496" s="862"/>
      <c r="E496" s="862"/>
      <c r="F496" s="862"/>
      <c r="G496" s="862"/>
      <c r="H496" s="862"/>
      <c r="I496" s="882"/>
      <c r="J496" s="501">
        <v>726</v>
      </c>
      <c r="K496" s="60" t="s">
        <v>4377</v>
      </c>
      <c r="L496" s="933">
        <v>1678324</v>
      </c>
      <c r="M496" s="933">
        <v>5349283</v>
      </c>
      <c r="N496" s="502" t="s">
        <v>4466</v>
      </c>
      <c r="O496" s="502" t="s">
        <v>5</v>
      </c>
      <c r="P496" s="502">
        <v>1</v>
      </c>
      <c r="Q496" s="502" t="s">
        <v>9276</v>
      </c>
      <c r="R496" s="60" t="s">
        <v>4549</v>
      </c>
      <c r="S496" s="61" t="s">
        <v>10</v>
      </c>
      <c r="T496" s="847" t="s">
        <v>4131</v>
      </c>
      <c r="U496" s="137" t="s">
        <v>4339</v>
      </c>
      <c r="V496" s="137" t="s">
        <v>4285</v>
      </c>
      <c r="W496" s="137" t="s">
        <v>37</v>
      </c>
      <c r="X496" s="139">
        <v>44211</v>
      </c>
      <c r="Y496" s="137"/>
      <c r="Z496" s="358"/>
      <c r="AA496" s="1110"/>
    </row>
    <row r="497" spans="1:27" s="869" customFormat="1" ht="26.25" x14ac:dyDescent="0.25">
      <c r="A497" s="1140"/>
      <c r="B497" s="1141"/>
      <c r="C497" s="862"/>
      <c r="D497" s="862"/>
      <c r="E497" s="862"/>
      <c r="F497" s="862"/>
      <c r="G497" s="862"/>
      <c r="H497" s="862"/>
      <c r="I497" s="882"/>
      <c r="J497" s="501">
        <v>727</v>
      </c>
      <c r="K497" s="60" t="s">
        <v>4378</v>
      </c>
      <c r="L497" s="933">
        <v>1678108</v>
      </c>
      <c r="M497" s="933">
        <v>5349152</v>
      </c>
      <c r="N497" s="502" t="s">
        <v>4467</v>
      </c>
      <c r="O497" s="502" t="s">
        <v>5</v>
      </c>
      <c r="P497" s="502">
        <v>1</v>
      </c>
      <c r="Q497" s="502" t="s">
        <v>9277</v>
      </c>
      <c r="R497" s="60" t="s">
        <v>4549</v>
      </c>
      <c r="S497" s="61" t="s">
        <v>10</v>
      </c>
      <c r="T497" s="847" t="s">
        <v>4131</v>
      </c>
      <c r="U497" s="137" t="s">
        <v>4555</v>
      </c>
      <c r="V497" s="137" t="s">
        <v>4285</v>
      </c>
      <c r="W497" s="137" t="s">
        <v>37</v>
      </c>
      <c r="X497" s="139">
        <v>44211</v>
      </c>
      <c r="Y497" s="137"/>
      <c r="Z497" s="358"/>
      <c r="AA497" s="1110"/>
    </row>
    <row r="498" spans="1:27" s="869" customFormat="1" ht="26.25" x14ac:dyDescent="0.25">
      <c r="A498" s="1140"/>
      <c r="B498" s="1141"/>
      <c r="C498" s="862"/>
      <c r="D498" s="862"/>
      <c r="E498" s="862"/>
      <c r="F498" s="862"/>
      <c r="G498" s="862"/>
      <c r="H498" s="862"/>
      <c r="I498" s="882"/>
      <c r="J498" s="501">
        <v>728</v>
      </c>
      <c r="K498" s="60" t="s">
        <v>4379</v>
      </c>
      <c r="L498" s="933">
        <v>1678062</v>
      </c>
      <c r="M498" s="933">
        <v>5349125</v>
      </c>
      <c r="N498" s="502" t="s">
        <v>4468</v>
      </c>
      <c r="O498" s="502" t="s">
        <v>61</v>
      </c>
      <c r="P498" s="502" t="s">
        <v>419</v>
      </c>
      <c r="Q498" s="502" t="s">
        <v>4518</v>
      </c>
      <c r="R498" s="60" t="s">
        <v>4329</v>
      </c>
      <c r="S498" s="61" t="s">
        <v>10</v>
      </c>
      <c r="T498" s="847" t="s">
        <v>4537</v>
      </c>
      <c r="U498" s="137" t="s">
        <v>4555</v>
      </c>
      <c r="V498" s="137" t="s">
        <v>4285</v>
      </c>
      <c r="W498" s="137" t="s">
        <v>37</v>
      </c>
      <c r="X498" s="139">
        <v>44211</v>
      </c>
      <c r="Y498" s="137"/>
      <c r="Z498" s="358"/>
      <c r="AA498" s="1110"/>
    </row>
    <row r="499" spans="1:27" s="869" customFormat="1" ht="26.25" x14ac:dyDescent="0.25">
      <c r="A499" s="1140"/>
      <c r="B499" s="1141"/>
      <c r="C499" s="862"/>
      <c r="D499" s="862"/>
      <c r="E499" s="862"/>
      <c r="F499" s="862"/>
      <c r="G499" s="862"/>
      <c r="H499" s="862"/>
      <c r="I499" s="882"/>
      <c r="J499" s="501">
        <v>729</v>
      </c>
      <c r="K499" s="60" t="s">
        <v>4380</v>
      </c>
      <c r="L499" s="933">
        <v>1677953</v>
      </c>
      <c r="M499" s="933">
        <v>5348998</v>
      </c>
      <c r="N499" s="502" t="s">
        <v>4469</v>
      </c>
      <c r="O499" s="502" t="s">
        <v>5</v>
      </c>
      <c r="P499" s="502">
        <v>1</v>
      </c>
      <c r="Q499" s="502" t="s">
        <v>9278</v>
      </c>
      <c r="R499" s="60" t="s">
        <v>4549</v>
      </c>
      <c r="S499" s="61" t="s">
        <v>10</v>
      </c>
      <c r="T499" s="847" t="s">
        <v>4334</v>
      </c>
      <c r="U499" s="137" t="s">
        <v>4555</v>
      </c>
      <c r="V499" s="137" t="s">
        <v>4285</v>
      </c>
      <c r="W499" s="137" t="s">
        <v>37</v>
      </c>
      <c r="X499" s="139">
        <v>44211</v>
      </c>
      <c r="Y499" s="137"/>
      <c r="Z499" s="358"/>
      <c r="AA499" s="1110"/>
    </row>
    <row r="500" spans="1:27" s="869" customFormat="1" ht="26.25" x14ac:dyDescent="0.25">
      <c r="A500" s="1140"/>
      <c r="B500" s="1141"/>
      <c r="C500" s="862"/>
      <c r="D500" s="862"/>
      <c r="E500" s="862"/>
      <c r="F500" s="862"/>
      <c r="G500" s="862"/>
      <c r="H500" s="862"/>
      <c r="I500" s="882"/>
      <c r="J500" s="501">
        <v>730</v>
      </c>
      <c r="K500" s="60" t="s">
        <v>4381</v>
      </c>
      <c r="L500" s="933">
        <v>1677898</v>
      </c>
      <c r="M500" s="933">
        <v>5348944</v>
      </c>
      <c r="N500" s="502" t="s">
        <v>4470</v>
      </c>
      <c r="O500" s="502" t="s">
        <v>5</v>
      </c>
      <c r="P500" s="502">
        <v>1</v>
      </c>
      <c r="Q500" s="502" t="s">
        <v>9279</v>
      </c>
      <c r="R500" s="60" t="s">
        <v>4549</v>
      </c>
      <c r="S500" s="61" t="s">
        <v>10</v>
      </c>
      <c r="T500" s="847" t="s">
        <v>261</v>
      </c>
      <c r="U500" s="137" t="s">
        <v>4555</v>
      </c>
      <c r="V500" s="137" t="s">
        <v>4285</v>
      </c>
      <c r="W500" s="137" t="s">
        <v>37</v>
      </c>
      <c r="X500" s="139">
        <v>44211</v>
      </c>
      <c r="Y500" s="137"/>
      <c r="Z500" s="358"/>
      <c r="AA500" s="1110"/>
    </row>
    <row r="501" spans="1:27" s="869" customFormat="1" ht="26.25" x14ac:dyDescent="0.25">
      <c r="A501" s="1140"/>
      <c r="B501" s="1141"/>
      <c r="C501" s="862"/>
      <c r="D501" s="862"/>
      <c r="E501" s="862"/>
      <c r="F501" s="862"/>
      <c r="G501" s="862"/>
      <c r="H501" s="862"/>
      <c r="I501" s="882"/>
      <c r="J501" s="501">
        <v>731</v>
      </c>
      <c r="K501" s="60" t="s">
        <v>4382</v>
      </c>
      <c r="L501" s="933">
        <v>1677862</v>
      </c>
      <c r="M501" s="933">
        <v>5348925</v>
      </c>
      <c r="N501" s="502" t="s">
        <v>4471</v>
      </c>
      <c r="O501" s="502" t="s">
        <v>61</v>
      </c>
      <c r="P501" s="502" t="s">
        <v>419</v>
      </c>
      <c r="Q501" s="502" t="s">
        <v>3186</v>
      </c>
      <c r="R501" s="60" t="s">
        <v>4329</v>
      </c>
      <c r="S501" s="61" t="s">
        <v>10</v>
      </c>
      <c r="T501" s="847" t="s">
        <v>4537</v>
      </c>
      <c r="U501" s="137" t="s">
        <v>4555</v>
      </c>
      <c r="V501" s="137" t="s">
        <v>4285</v>
      </c>
      <c r="W501" s="137" t="s">
        <v>37</v>
      </c>
      <c r="X501" s="139">
        <v>44211</v>
      </c>
      <c r="Y501" s="137"/>
      <c r="Z501" s="358"/>
      <c r="AA501" s="1110"/>
    </row>
    <row r="502" spans="1:27" s="869" customFormat="1" ht="26.25" x14ac:dyDescent="0.25">
      <c r="A502" s="1140"/>
      <c r="B502" s="1141"/>
      <c r="C502" s="862"/>
      <c r="D502" s="862"/>
      <c r="E502" s="862"/>
      <c r="F502" s="862"/>
      <c r="G502" s="862"/>
      <c r="H502" s="862"/>
      <c r="I502" s="882"/>
      <c r="J502" s="501">
        <v>732</v>
      </c>
      <c r="K502" s="60" t="s">
        <v>4383</v>
      </c>
      <c r="L502" s="933">
        <v>1677803</v>
      </c>
      <c r="M502" s="933">
        <v>5348674</v>
      </c>
      <c r="N502" s="502" t="s">
        <v>4454</v>
      </c>
      <c r="O502" s="502" t="s">
        <v>5</v>
      </c>
      <c r="P502" s="502">
        <v>1</v>
      </c>
      <c r="Q502" s="502" t="s">
        <v>9267</v>
      </c>
      <c r="R502" s="60" t="s">
        <v>4549</v>
      </c>
      <c r="S502" s="61" t="s">
        <v>10</v>
      </c>
      <c r="T502" s="847" t="s">
        <v>4334</v>
      </c>
      <c r="U502" s="137" t="s">
        <v>4555</v>
      </c>
      <c r="V502" s="137" t="s">
        <v>4285</v>
      </c>
      <c r="W502" s="137" t="s">
        <v>37</v>
      </c>
      <c r="X502" s="139">
        <v>44211</v>
      </c>
      <c r="Y502" s="137"/>
      <c r="Z502" s="358"/>
      <c r="AA502" s="1110"/>
    </row>
    <row r="503" spans="1:27" s="869" customFormat="1" ht="26.25" x14ac:dyDescent="0.25">
      <c r="A503" s="1140"/>
      <c r="B503" s="1141"/>
      <c r="C503" s="862"/>
      <c r="D503" s="862"/>
      <c r="E503" s="862"/>
      <c r="F503" s="862"/>
      <c r="G503" s="862"/>
      <c r="H503" s="862"/>
      <c r="I503" s="882"/>
      <c r="J503" s="501">
        <v>733</v>
      </c>
      <c r="K503" s="60" t="s">
        <v>4384</v>
      </c>
      <c r="L503" s="933">
        <v>1677770</v>
      </c>
      <c r="M503" s="933">
        <v>5348641</v>
      </c>
      <c r="N503" s="502" t="s">
        <v>4459</v>
      </c>
      <c r="O503" s="502" t="s">
        <v>5</v>
      </c>
      <c r="P503" s="502">
        <v>1</v>
      </c>
      <c r="Q503" s="502" t="s">
        <v>9270</v>
      </c>
      <c r="R503" s="60" t="s">
        <v>4549</v>
      </c>
      <c r="S503" s="61" t="s">
        <v>10</v>
      </c>
      <c r="T503" s="847" t="s">
        <v>4535</v>
      </c>
      <c r="U503" s="137" t="s">
        <v>4555</v>
      </c>
      <c r="V503" s="137" t="s">
        <v>4285</v>
      </c>
      <c r="W503" s="137" t="s">
        <v>37</v>
      </c>
      <c r="X503" s="139">
        <v>44211</v>
      </c>
      <c r="Y503" s="137"/>
      <c r="Z503" s="358"/>
      <c r="AA503" s="1110"/>
    </row>
    <row r="504" spans="1:27" s="869" customFormat="1" ht="39" x14ac:dyDescent="0.25">
      <c r="A504" s="1140"/>
      <c r="B504" s="1141"/>
      <c r="C504" s="862"/>
      <c r="D504" s="862"/>
      <c r="E504" s="862"/>
      <c r="F504" s="862"/>
      <c r="G504" s="862"/>
      <c r="H504" s="862"/>
      <c r="I504" s="882"/>
      <c r="J504" s="501">
        <v>734</v>
      </c>
      <c r="K504" s="60" t="s">
        <v>4385</v>
      </c>
      <c r="L504" s="933">
        <v>1677722</v>
      </c>
      <c r="M504" s="933">
        <v>5348597</v>
      </c>
      <c r="N504" s="502" t="s">
        <v>4472</v>
      </c>
      <c r="O504" s="502" t="s">
        <v>61</v>
      </c>
      <c r="P504" s="502" t="s">
        <v>419</v>
      </c>
      <c r="Q504" s="502" t="s">
        <v>4519</v>
      </c>
      <c r="R504" s="60" t="s">
        <v>4329</v>
      </c>
      <c r="S504" s="61" t="s">
        <v>10</v>
      </c>
      <c r="T504" s="847" t="s">
        <v>4334</v>
      </c>
      <c r="U504" s="137" t="s">
        <v>4341</v>
      </c>
      <c r="V504" s="137" t="s">
        <v>4285</v>
      </c>
      <c r="W504" s="137" t="s">
        <v>37</v>
      </c>
      <c r="X504" s="139">
        <v>44211</v>
      </c>
      <c r="Y504" s="137"/>
      <c r="Z504" s="358"/>
      <c r="AA504" s="1110"/>
    </row>
    <row r="505" spans="1:27" s="869" customFormat="1" ht="26.25" x14ac:dyDescent="0.25">
      <c r="A505" s="1140"/>
      <c r="B505" s="1141"/>
      <c r="C505" s="862"/>
      <c r="D505" s="862"/>
      <c r="E505" s="862"/>
      <c r="F505" s="862"/>
      <c r="G505" s="862"/>
      <c r="H505" s="862"/>
      <c r="I505" s="882"/>
      <c r="J505" s="501">
        <v>735</v>
      </c>
      <c r="K505" s="60" t="s">
        <v>4386</v>
      </c>
      <c r="L505" s="933">
        <v>1677705</v>
      </c>
      <c r="M505" s="933">
        <v>5348588</v>
      </c>
      <c r="N505" s="502" t="s">
        <v>4473</v>
      </c>
      <c r="O505" s="502" t="s">
        <v>5</v>
      </c>
      <c r="P505" s="502">
        <v>1</v>
      </c>
      <c r="Q505" s="502" t="s">
        <v>9280</v>
      </c>
      <c r="R505" s="60" t="s">
        <v>4549</v>
      </c>
      <c r="S505" s="61" t="s">
        <v>10</v>
      </c>
      <c r="T505" s="847" t="s">
        <v>4283</v>
      </c>
      <c r="U505" s="137" t="s">
        <v>4556</v>
      </c>
      <c r="V505" s="137" t="s">
        <v>4285</v>
      </c>
      <c r="W505" s="137" t="s">
        <v>37</v>
      </c>
      <c r="X505" s="139">
        <v>44211</v>
      </c>
      <c r="Y505" s="137"/>
      <c r="Z505" s="358"/>
      <c r="AA505" s="1110"/>
    </row>
    <row r="506" spans="1:27" s="869" customFormat="1" ht="26.25" x14ac:dyDescent="0.25">
      <c r="A506" s="1140"/>
      <c r="B506" s="1141"/>
      <c r="C506" s="862"/>
      <c r="D506" s="862"/>
      <c r="E506" s="862"/>
      <c r="F506" s="862"/>
      <c r="G506" s="862"/>
      <c r="H506" s="862"/>
      <c r="I506" s="882"/>
      <c r="J506" s="501">
        <v>736</v>
      </c>
      <c r="K506" s="60" t="s">
        <v>4387</v>
      </c>
      <c r="L506" s="933">
        <v>1677658</v>
      </c>
      <c r="M506" s="933">
        <v>5348540</v>
      </c>
      <c r="N506" s="502" t="s">
        <v>4474</v>
      </c>
      <c r="O506" s="502" t="s">
        <v>5</v>
      </c>
      <c r="P506" s="502">
        <v>1</v>
      </c>
      <c r="Q506" s="502" t="s">
        <v>9281</v>
      </c>
      <c r="R506" s="60" t="s">
        <v>4549</v>
      </c>
      <c r="S506" s="61" t="s">
        <v>10</v>
      </c>
      <c r="T506" s="847" t="s">
        <v>4131</v>
      </c>
      <c r="U506" s="137" t="s">
        <v>4556</v>
      </c>
      <c r="V506" s="137" t="s">
        <v>4285</v>
      </c>
      <c r="W506" s="137" t="s">
        <v>37</v>
      </c>
      <c r="X506" s="139">
        <v>44211</v>
      </c>
      <c r="Y506" s="137"/>
      <c r="Z506" s="358"/>
      <c r="AA506" s="1110"/>
    </row>
    <row r="507" spans="1:27" s="869" customFormat="1" ht="26.25" x14ac:dyDescent="0.25">
      <c r="A507" s="1140"/>
      <c r="B507" s="1141"/>
      <c r="C507" s="862"/>
      <c r="D507" s="862"/>
      <c r="E507" s="862"/>
      <c r="F507" s="862"/>
      <c r="G507" s="862"/>
      <c r="H507" s="862"/>
      <c r="I507" s="882"/>
      <c r="J507" s="501">
        <v>737</v>
      </c>
      <c r="K507" s="60" t="s">
        <v>4388</v>
      </c>
      <c r="L507" s="933">
        <v>1677521</v>
      </c>
      <c r="M507" s="933">
        <v>5348438</v>
      </c>
      <c r="N507" s="502" t="s">
        <v>4475</v>
      </c>
      <c r="O507" s="502" t="s">
        <v>5</v>
      </c>
      <c r="P507" s="502">
        <v>1</v>
      </c>
      <c r="Q507" s="502" t="s">
        <v>9282</v>
      </c>
      <c r="R507" s="60" t="s">
        <v>4549</v>
      </c>
      <c r="S507" s="61" t="s">
        <v>10</v>
      </c>
      <c r="T507" s="847" t="s">
        <v>4131</v>
      </c>
      <c r="U507" s="137" t="s">
        <v>4339</v>
      </c>
      <c r="V507" s="137" t="s">
        <v>4285</v>
      </c>
      <c r="W507" s="137" t="s">
        <v>37</v>
      </c>
      <c r="X507" s="139">
        <v>44211</v>
      </c>
      <c r="Y507" s="137"/>
      <c r="Z507" s="358"/>
      <c r="AA507" s="1110"/>
    </row>
    <row r="508" spans="1:27" s="869" customFormat="1" ht="26.25" x14ac:dyDescent="0.25">
      <c r="A508" s="1140"/>
      <c r="B508" s="1141"/>
      <c r="C508" s="862"/>
      <c r="D508" s="862"/>
      <c r="E508" s="862"/>
      <c r="F508" s="862"/>
      <c r="G508" s="862"/>
      <c r="H508" s="862"/>
      <c r="I508" s="882"/>
      <c r="J508" s="501">
        <v>738</v>
      </c>
      <c r="K508" s="60" t="s">
        <v>4389</v>
      </c>
      <c r="L508" s="933">
        <v>1677460</v>
      </c>
      <c r="M508" s="933">
        <v>5348432</v>
      </c>
      <c r="N508" s="502" t="s">
        <v>4476</v>
      </c>
      <c r="O508" s="502" t="s">
        <v>5</v>
      </c>
      <c r="P508" s="502">
        <v>1</v>
      </c>
      <c r="Q508" s="502" t="s">
        <v>9283</v>
      </c>
      <c r="R508" s="60" t="s">
        <v>4549</v>
      </c>
      <c r="S508" s="61" t="s">
        <v>10</v>
      </c>
      <c r="T508" s="847" t="s">
        <v>4283</v>
      </c>
      <c r="U508" s="137" t="s">
        <v>4555</v>
      </c>
      <c r="V508" s="137" t="s">
        <v>4285</v>
      </c>
      <c r="W508" s="137" t="s">
        <v>37</v>
      </c>
      <c r="X508" s="139">
        <v>44211</v>
      </c>
      <c r="Y508" s="137"/>
      <c r="Z508" s="358"/>
      <c r="AA508" s="1110"/>
    </row>
    <row r="509" spans="1:27" s="869" customFormat="1" ht="26.25" x14ac:dyDescent="0.25">
      <c r="A509" s="1140"/>
      <c r="B509" s="1141"/>
      <c r="C509" s="862"/>
      <c r="D509" s="862"/>
      <c r="E509" s="862"/>
      <c r="F509" s="862"/>
      <c r="G509" s="862"/>
      <c r="H509" s="862"/>
      <c r="I509" s="882"/>
      <c r="J509" s="501">
        <v>739</v>
      </c>
      <c r="K509" s="60" t="s">
        <v>4390</v>
      </c>
      <c r="L509" s="933">
        <v>1677318</v>
      </c>
      <c r="M509" s="933">
        <v>5348329</v>
      </c>
      <c r="N509" s="502" t="s">
        <v>4477</v>
      </c>
      <c r="O509" s="502" t="s">
        <v>5</v>
      </c>
      <c r="P509" s="502">
        <v>1</v>
      </c>
      <c r="Q509" s="502" t="s">
        <v>9284</v>
      </c>
      <c r="R509" s="60" t="s">
        <v>4549</v>
      </c>
      <c r="S509" s="61" t="s">
        <v>10</v>
      </c>
      <c r="T509" s="847" t="s">
        <v>4533</v>
      </c>
      <c r="U509" s="137" t="s">
        <v>4555</v>
      </c>
      <c r="V509" s="137" t="s">
        <v>4285</v>
      </c>
      <c r="W509" s="137" t="s">
        <v>37</v>
      </c>
      <c r="X509" s="139">
        <v>44211</v>
      </c>
      <c r="Y509" s="137"/>
      <c r="Z509" s="358"/>
      <c r="AA509" s="1110"/>
    </row>
    <row r="510" spans="1:27" s="869" customFormat="1" ht="26.25" x14ac:dyDescent="0.25">
      <c r="A510" s="1140"/>
      <c r="B510" s="1141"/>
      <c r="C510" s="862"/>
      <c r="D510" s="862"/>
      <c r="E510" s="862"/>
      <c r="F510" s="862"/>
      <c r="G510" s="862"/>
      <c r="H510" s="862"/>
      <c r="I510" s="882"/>
      <c r="J510" s="501">
        <v>740</v>
      </c>
      <c r="K510" s="60" t="s">
        <v>4391</v>
      </c>
      <c r="L510" s="933">
        <v>1677164</v>
      </c>
      <c r="M510" s="933">
        <v>5348170</v>
      </c>
      <c r="N510" s="502" t="s">
        <v>4478</v>
      </c>
      <c r="O510" s="502" t="s">
        <v>61</v>
      </c>
      <c r="P510" s="502" t="s">
        <v>419</v>
      </c>
      <c r="Q510" s="502" t="s">
        <v>4520</v>
      </c>
      <c r="R510" s="60" t="s">
        <v>4329</v>
      </c>
      <c r="S510" s="61" t="s">
        <v>10</v>
      </c>
      <c r="T510" s="847" t="s">
        <v>4528</v>
      </c>
      <c r="U510" s="137" t="s">
        <v>4555</v>
      </c>
      <c r="V510" s="137" t="s">
        <v>4285</v>
      </c>
      <c r="W510" s="137" t="s">
        <v>37</v>
      </c>
      <c r="X510" s="139">
        <v>44211</v>
      </c>
      <c r="Y510" s="137"/>
      <c r="Z510" s="358"/>
      <c r="AA510" s="1110"/>
    </row>
    <row r="511" spans="1:27" s="869" customFormat="1" ht="26.25" x14ac:dyDescent="0.25">
      <c r="A511" s="1140"/>
      <c r="B511" s="1141"/>
      <c r="C511" s="862"/>
      <c r="D511" s="862"/>
      <c r="E511" s="862"/>
      <c r="F511" s="862"/>
      <c r="G511" s="862"/>
      <c r="H511" s="862"/>
      <c r="I511" s="882"/>
      <c r="J511" s="501">
        <v>741</v>
      </c>
      <c r="K511" s="60" t="s">
        <v>4392</v>
      </c>
      <c r="L511" s="933">
        <v>1677026</v>
      </c>
      <c r="M511" s="933">
        <v>5348096</v>
      </c>
      <c r="N511" s="502" t="s">
        <v>4479</v>
      </c>
      <c r="O511" s="502" t="s">
        <v>5</v>
      </c>
      <c r="P511" s="502">
        <v>1</v>
      </c>
      <c r="Q511" s="502" t="s">
        <v>9285</v>
      </c>
      <c r="R511" s="60" t="s">
        <v>4549</v>
      </c>
      <c r="S511" s="61" t="s">
        <v>10</v>
      </c>
      <c r="T511" s="847" t="s">
        <v>4538</v>
      </c>
      <c r="U511" s="137" t="s">
        <v>4554</v>
      </c>
      <c r="V511" s="137" t="s">
        <v>4285</v>
      </c>
      <c r="W511" s="137" t="s">
        <v>37</v>
      </c>
      <c r="X511" s="139">
        <v>44211</v>
      </c>
      <c r="Y511" s="137"/>
      <c r="Z511" s="358"/>
      <c r="AA511" s="1110"/>
    </row>
    <row r="512" spans="1:27" s="869" customFormat="1" ht="26.25" x14ac:dyDescent="0.25">
      <c r="A512" s="1140"/>
      <c r="B512" s="1141"/>
      <c r="C512" s="862"/>
      <c r="D512" s="862"/>
      <c r="E512" s="862"/>
      <c r="F512" s="862"/>
      <c r="G512" s="862"/>
      <c r="H512" s="862"/>
      <c r="I512" s="882"/>
      <c r="J512" s="501">
        <v>742</v>
      </c>
      <c r="K512" s="60" t="s">
        <v>4393</v>
      </c>
      <c r="L512" s="933">
        <v>1676971</v>
      </c>
      <c r="M512" s="933">
        <v>5348058</v>
      </c>
      <c r="N512" s="502" t="s">
        <v>4480</v>
      </c>
      <c r="O512" s="502" t="s">
        <v>61</v>
      </c>
      <c r="P512" s="502" t="s">
        <v>419</v>
      </c>
      <c r="Q512" s="502" t="s">
        <v>4521</v>
      </c>
      <c r="R512" s="60" t="s">
        <v>4329</v>
      </c>
      <c r="S512" s="61" t="s">
        <v>10</v>
      </c>
      <c r="T512" s="847" t="s">
        <v>4539</v>
      </c>
      <c r="U512" s="137" t="s">
        <v>4555</v>
      </c>
      <c r="V512" s="137" t="s">
        <v>4285</v>
      </c>
      <c r="W512" s="137" t="s">
        <v>37</v>
      </c>
      <c r="X512" s="139">
        <v>44211</v>
      </c>
      <c r="Y512" s="137"/>
      <c r="Z512" s="358"/>
      <c r="AA512" s="1110"/>
    </row>
    <row r="513" spans="1:27" s="869" customFormat="1" ht="26.25" x14ac:dyDescent="0.25">
      <c r="A513" s="1140"/>
      <c r="B513" s="1141"/>
      <c r="C513" s="862"/>
      <c r="D513" s="862"/>
      <c r="E513" s="862"/>
      <c r="F513" s="862"/>
      <c r="G513" s="862"/>
      <c r="H513" s="862"/>
      <c r="I513" s="882"/>
      <c r="J513" s="501">
        <v>743</v>
      </c>
      <c r="K513" s="60" t="s">
        <v>4395</v>
      </c>
      <c r="L513" s="933">
        <v>1676671</v>
      </c>
      <c r="M513" s="933">
        <v>5347847</v>
      </c>
      <c r="N513" s="502" t="s">
        <v>4481</v>
      </c>
      <c r="O513" s="502" t="s">
        <v>5</v>
      </c>
      <c r="P513" s="502">
        <v>1</v>
      </c>
      <c r="Q513" s="502" t="s">
        <v>9286</v>
      </c>
      <c r="R513" s="60" t="s">
        <v>4549</v>
      </c>
      <c r="S513" s="61" t="s">
        <v>10</v>
      </c>
      <c r="T513" s="847" t="s">
        <v>4131</v>
      </c>
      <c r="U513" s="137" t="s">
        <v>4339</v>
      </c>
      <c r="V513" s="137" t="s">
        <v>4285</v>
      </c>
      <c r="W513" s="137" t="s">
        <v>37</v>
      </c>
      <c r="X513" s="139">
        <v>44211</v>
      </c>
      <c r="Y513" s="137"/>
      <c r="Z513" s="358"/>
      <c r="AA513" s="1110"/>
    </row>
    <row r="514" spans="1:27" s="869" customFormat="1" ht="26.25" x14ac:dyDescent="0.25">
      <c r="A514" s="1140"/>
      <c r="B514" s="1141"/>
      <c r="C514" s="862"/>
      <c r="D514" s="862"/>
      <c r="E514" s="862"/>
      <c r="F514" s="862"/>
      <c r="G514" s="862"/>
      <c r="H514" s="862"/>
      <c r="I514" s="882"/>
      <c r="J514" s="501">
        <v>744</v>
      </c>
      <c r="K514" s="60" t="s">
        <v>4396</v>
      </c>
      <c r="L514" s="933">
        <v>1676402</v>
      </c>
      <c r="M514" s="933">
        <v>5347706</v>
      </c>
      <c r="N514" s="502" t="s">
        <v>4482</v>
      </c>
      <c r="O514" s="502" t="s">
        <v>61</v>
      </c>
      <c r="P514" s="502" t="s">
        <v>419</v>
      </c>
      <c r="Q514" s="502" t="s">
        <v>4522</v>
      </c>
      <c r="R514" s="60" t="s">
        <v>4329</v>
      </c>
      <c r="S514" s="61" t="s">
        <v>10</v>
      </c>
      <c r="T514" s="847" t="s">
        <v>4533</v>
      </c>
      <c r="U514" s="137" t="s">
        <v>4555</v>
      </c>
      <c r="V514" s="137" t="s">
        <v>4285</v>
      </c>
      <c r="W514" s="137" t="s">
        <v>37</v>
      </c>
      <c r="X514" s="139">
        <v>44211</v>
      </c>
      <c r="Y514" s="137"/>
      <c r="Z514" s="358"/>
      <c r="AA514" s="1110"/>
    </row>
    <row r="515" spans="1:27" s="869" customFormat="1" ht="26.25" x14ac:dyDescent="0.25">
      <c r="A515" s="1140"/>
      <c r="B515" s="1141"/>
      <c r="C515" s="862"/>
      <c r="D515" s="862"/>
      <c r="E515" s="862"/>
      <c r="F515" s="862"/>
      <c r="G515" s="862"/>
      <c r="H515" s="862"/>
      <c r="I515" s="882"/>
      <c r="J515" s="501">
        <v>745</v>
      </c>
      <c r="K515" s="60" t="s">
        <v>4394</v>
      </c>
      <c r="L515" s="933">
        <v>1676350</v>
      </c>
      <c r="M515" s="933">
        <v>5347691</v>
      </c>
      <c r="N515" s="502" t="s">
        <v>4483</v>
      </c>
      <c r="O515" s="502" t="s">
        <v>5</v>
      </c>
      <c r="P515" s="502">
        <v>1</v>
      </c>
      <c r="Q515" s="502" t="s">
        <v>9287</v>
      </c>
      <c r="R515" s="60" t="s">
        <v>4549</v>
      </c>
      <c r="S515" s="61" t="s">
        <v>10</v>
      </c>
      <c r="T515" s="847" t="s">
        <v>4538</v>
      </c>
      <c r="U515" s="137" t="s">
        <v>4554</v>
      </c>
      <c r="V515" s="137" t="s">
        <v>4285</v>
      </c>
      <c r="W515" s="137" t="s">
        <v>37</v>
      </c>
      <c r="X515" s="139">
        <v>44211</v>
      </c>
      <c r="Y515" s="137"/>
      <c r="Z515" s="358"/>
      <c r="AA515" s="1110"/>
    </row>
    <row r="516" spans="1:27" s="869" customFormat="1" ht="26.25" x14ac:dyDescent="0.25">
      <c r="A516" s="1140"/>
      <c r="B516" s="1141"/>
      <c r="C516" s="862"/>
      <c r="D516" s="862"/>
      <c r="E516" s="862"/>
      <c r="F516" s="862"/>
      <c r="G516" s="862"/>
      <c r="H516" s="862"/>
      <c r="I516" s="882"/>
      <c r="J516" s="501">
        <v>746</v>
      </c>
      <c r="K516" s="60" t="s">
        <v>4397</v>
      </c>
      <c r="L516" s="933">
        <v>1676228</v>
      </c>
      <c r="M516" s="933">
        <v>5347643</v>
      </c>
      <c r="N516" s="502" t="s">
        <v>4484</v>
      </c>
      <c r="O516" s="502" t="s">
        <v>5</v>
      </c>
      <c r="P516" s="502">
        <v>1</v>
      </c>
      <c r="Q516" s="502" t="s">
        <v>9288</v>
      </c>
      <c r="R516" s="60" t="s">
        <v>4549</v>
      </c>
      <c r="S516" s="61" t="s">
        <v>10</v>
      </c>
      <c r="T516" s="847" t="s">
        <v>4283</v>
      </c>
      <c r="U516" s="137" t="s">
        <v>4555</v>
      </c>
      <c r="V516" s="137" t="s">
        <v>4285</v>
      </c>
      <c r="W516" s="137" t="s">
        <v>37</v>
      </c>
      <c r="X516" s="139">
        <v>44211</v>
      </c>
      <c r="Y516" s="137"/>
      <c r="Z516" s="358"/>
      <c r="AA516" s="1110"/>
    </row>
    <row r="517" spans="1:27" s="869" customFormat="1" ht="26.25" x14ac:dyDescent="0.25">
      <c r="A517" s="1140"/>
      <c r="B517" s="1141"/>
      <c r="C517" s="862"/>
      <c r="D517" s="862"/>
      <c r="E517" s="862"/>
      <c r="F517" s="862"/>
      <c r="G517" s="862"/>
      <c r="H517" s="862"/>
      <c r="I517" s="882"/>
      <c r="J517" s="501">
        <v>747</v>
      </c>
      <c r="K517" s="60" t="s">
        <v>4398</v>
      </c>
      <c r="L517" s="933">
        <v>1675225</v>
      </c>
      <c r="M517" s="933">
        <v>5346450</v>
      </c>
      <c r="N517" s="502" t="s">
        <v>4485</v>
      </c>
      <c r="O517" s="502" t="s">
        <v>61</v>
      </c>
      <c r="P517" s="502" t="s">
        <v>419</v>
      </c>
      <c r="Q517" s="502" t="s">
        <v>4689</v>
      </c>
      <c r="R517" s="60" t="s">
        <v>4329</v>
      </c>
      <c r="S517" s="61" t="s">
        <v>10</v>
      </c>
      <c r="T517" s="847" t="s">
        <v>4540</v>
      </c>
      <c r="U517" s="137" t="s">
        <v>4557</v>
      </c>
      <c r="V517" s="137" t="s">
        <v>4285</v>
      </c>
      <c r="W517" s="137" t="s">
        <v>37</v>
      </c>
      <c r="X517" s="139">
        <v>44211</v>
      </c>
      <c r="Y517" s="137"/>
      <c r="Z517" s="358"/>
      <c r="AA517" s="1110"/>
    </row>
    <row r="518" spans="1:27" s="869" customFormat="1" ht="26.25" x14ac:dyDescent="0.25">
      <c r="A518" s="1140"/>
      <c r="B518" s="1141"/>
      <c r="C518" s="862"/>
      <c r="D518" s="862"/>
      <c r="E518" s="862"/>
      <c r="F518" s="862"/>
      <c r="G518" s="862"/>
      <c r="H518" s="862"/>
      <c r="I518" s="882"/>
      <c r="J518" s="501">
        <v>748</v>
      </c>
      <c r="K518" s="60" t="s">
        <v>4399</v>
      </c>
      <c r="L518" s="933">
        <v>1672926</v>
      </c>
      <c r="M518" s="933">
        <v>5344387</v>
      </c>
      <c r="N518" s="502" t="s">
        <v>4486</v>
      </c>
      <c r="O518" s="502" t="s">
        <v>5</v>
      </c>
      <c r="P518" s="502">
        <v>1</v>
      </c>
      <c r="Q518" s="502" t="s">
        <v>9289</v>
      </c>
      <c r="R518" s="60" t="s">
        <v>4549</v>
      </c>
      <c r="S518" s="61" t="s">
        <v>10</v>
      </c>
      <c r="T518" s="847" t="s">
        <v>4131</v>
      </c>
      <c r="U518" s="137" t="s">
        <v>4339</v>
      </c>
      <c r="V518" s="137" t="s">
        <v>4285</v>
      </c>
      <c r="W518" s="137" t="s">
        <v>37</v>
      </c>
      <c r="X518" s="139">
        <v>44211</v>
      </c>
      <c r="Y518" s="137"/>
      <c r="Z518" s="358"/>
      <c r="AA518" s="1110"/>
    </row>
    <row r="519" spans="1:27" s="869" customFormat="1" ht="26.25" x14ac:dyDescent="0.25">
      <c r="A519" s="1140"/>
      <c r="B519" s="1141"/>
      <c r="C519" s="862"/>
      <c r="D519" s="862"/>
      <c r="E519" s="862"/>
      <c r="F519" s="862"/>
      <c r="G519" s="862"/>
      <c r="H519" s="862"/>
      <c r="I519" s="882"/>
      <c r="J519" s="501">
        <v>749</v>
      </c>
      <c r="K519" s="60" t="s">
        <v>4400</v>
      </c>
      <c r="L519" s="933">
        <v>1672864</v>
      </c>
      <c r="M519" s="933">
        <v>5344347</v>
      </c>
      <c r="N519" s="502" t="s">
        <v>4487</v>
      </c>
      <c r="O519" s="502" t="s">
        <v>5</v>
      </c>
      <c r="P519" s="502">
        <v>1</v>
      </c>
      <c r="Q519" s="502" t="s">
        <v>9290</v>
      </c>
      <c r="R519" s="60" t="s">
        <v>4549</v>
      </c>
      <c r="S519" s="61" t="s">
        <v>10</v>
      </c>
      <c r="T519" s="847" t="s">
        <v>4528</v>
      </c>
      <c r="U519" s="137" t="s">
        <v>4557</v>
      </c>
      <c r="V519" s="137" t="s">
        <v>4285</v>
      </c>
      <c r="W519" s="137" t="s">
        <v>37</v>
      </c>
      <c r="X519" s="139">
        <v>44211</v>
      </c>
      <c r="Y519" s="137"/>
      <c r="Z519" s="358"/>
      <c r="AA519" s="1110"/>
    </row>
    <row r="520" spans="1:27" s="869" customFormat="1" ht="26.25" x14ac:dyDescent="0.25">
      <c r="A520" s="1140"/>
      <c r="B520" s="1141"/>
      <c r="C520" s="862"/>
      <c r="D520" s="862"/>
      <c r="E520" s="862"/>
      <c r="F520" s="862"/>
      <c r="G520" s="862"/>
      <c r="H520" s="862"/>
      <c r="I520" s="882"/>
      <c r="J520" s="501">
        <v>750</v>
      </c>
      <c r="K520" s="60" t="s">
        <v>4401</v>
      </c>
      <c r="L520" s="933">
        <v>1672424</v>
      </c>
      <c r="M520" s="933">
        <v>5343881</v>
      </c>
      <c r="N520" s="502" t="s">
        <v>4488</v>
      </c>
      <c r="O520" s="502" t="s">
        <v>5</v>
      </c>
      <c r="P520" s="502">
        <v>1</v>
      </c>
      <c r="Q520" s="502" t="s">
        <v>9291</v>
      </c>
      <c r="R520" s="60" t="s">
        <v>4549</v>
      </c>
      <c r="S520" s="61" t="s">
        <v>10</v>
      </c>
      <c r="T520" s="847" t="s">
        <v>4131</v>
      </c>
      <c r="U520" s="137" t="s">
        <v>4339</v>
      </c>
      <c r="V520" s="137" t="s">
        <v>4285</v>
      </c>
      <c r="W520" s="137" t="s">
        <v>37</v>
      </c>
      <c r="X520" s="139">
        <v>44211</v>
      </c>
      <c r="Y520" s="137"/>
      <c r="Z520" s="358"/>
      <c r="AA520" s="1110"/>
    </row>
    <row r="521" spans="1:27" s="869" customFormat="1" ht="26.25" x14ac:dyDescent="0.25">
      <c r="A521" s="1140"/>
      <c r="B521" s="1141"/>
      <c r="C521" s="862"/>
      <c r="D521" s="862"/>
      <c r="E521" s="862"/>
      <c r="F521" s="862"/>
      <c r="G521" s="862"/>
      <c r="H521" s="862"/>
      <c r="I521" s="882"/>
      <c r="J521" s="501">
        <v>751</v>
      </c>
      <c r="K521" s="60" t="s">
        <v>4402</v>
      </c>
      <c r="L521" s="933">
        <v>1671851</v>
      </c>
      <c r="M521" s="933">
        <v>5343299</v>
      </c>
      <c r="N521" s="502" t="s">
        <v>4489</v>
      </c>
      <c r="O521" s="502" t="s">
        <v>5</v>
      </c>
      <c r="P521" s="502">
        <v>1</v>
      </c>
      <c r="Q521" s="502" t="s">
        <v>9292</v>
      </c>
      <c r="R521" s="60" t="s">
        <v>4549</v>
      </c>
      <c r="S521" s="61" t="s">
        <v>10</v>
      </c>
      <c r="T521" s="847" t="s">
        <v>4131</v>
      </c>
      <c r="U521" s="137" t="s">
        <v>4339</v>
      </c>
      <c r="V521" s="137" t="s">
        <v>4285</v>
      </c>
      <c r="W521" s="137" t="s">
        <v>37</v>
      </c>
      <c r="X521" s="139">
        <v>44211</v>
      </c>
      <c r="Y521" s="137"/>
      <c r="Z521" s="358"/>
      <c r="AA521" s="1110"/>
    </row>
    <row r="522" spans="1:27" s="869" customFormat="1" ht="26.25" x14ac:dyDescent="0.25">
      <c r="A522" s="1140"/>
      <c r="B522" s="1141"/>
      <c r="C522" s="862"/>
      <c r="D522" s="862"/>
      <c r="E522" s="862"/>
      <c r="F522" s="862"/>
      <c r="G522" s="862"/>
      <c r="H522" s="862"/>
      <c r="I522" s="882"/>
      <c r="J522" s="501">
        <v>752</v>
      </c>
      <c r="K522" s="60" t="s">
        <v>4403</v>
      </c>
      <c r="L522" s="933">
        <v>1671800</v>
      </c>
      <c r="M522" s="933">
        <v>5343276</v>
      </c>
      <c r="N522" s="502" t="s">
        <v>4459</v>
      </c>
      <c r="O522" s="502" t="s">
        <v>5</v>
      </c>
      <c r="P522" s="502">
        <v>1</v>
      </c>
      <c r="Q522" s="502" t="s">
        <v>9270</v>
      </c>
      <c r="R522" s="60" t="s">
        <v>4549</v>
      </c>
      <c r="S522" s="61" t="s">
        <v>10</v>
      </c>
      <c r="T522" s="847" t="s">
        <v>4541</v>
      </c>
      <c r="U522" s="137" t="s">
        <v>4555</v>
      </c>
      <c r="V522" s="137" t="s">
        <v>4285</v>
      </c>
      <c r="W522" s="137" t="s">
        <v>37</v>
      </c>
      <c r="X522" s="139">
        <v>44211</v>
      </c>
      <c r="Y522" s="137"/>
      <c r="Z522" s="358"/>
      <c r="AA522" s="1110"/>
    </row>
    <row r="523" spans="1:27" s="869" customFormat="1" ht="26.25" x14ac:dyDescent="0.25">
      <c r="A523" s="1140"/>
      <c r="B523" s="1141"/>
      <c r="C523" s="862"/>
      <c r="D523" s="862"/>
      <c r="E523" s="862"/>
      <c r="F523" s="862"/>
      <c r="G523" s="862"/>
      <c r="H523" s="862"/>
      <c r="I523" s="882"/>
      <c r="J523" s="501">
        <v>753</v>
      </c>
      <c r="K523" s="60" t="s">
        <v>4404</v>
      </c>
      <c r="L523" s="933">
        <v>1671538</v>
      </c>
      <c r="M523" s="933">
        <v>5343090</v>
      </c>
      <c r="N523" s="502" t="s">
        <v>4470</v>
      </c>
      <c r="O523" s="502" t="s">
        <v>5</v>
      </c>
      <c r="P523" s="502">
        <v>1</v>
      </c>
      <c r="Q523" s="502" t="s">
        <v>9279</v>
      </c>
      <c r="R523" s="60" t="s">
        <v>4549</v>
      </c>
      <c r="S523" s="61" t="s">
        <v>10</v>
      </c>
      <c r="T523" s="847" t="s">
        <v>4542</v>
      </c>
      <c r="U523" s="137" t="s">
        <v>4555</v>
      </c>
      <c r="V523" s="137" t="s">
        <v>4285</v>
      </c>
      <c r="W523" s="137" t="s">
        <v>37</v>
      </c>
      <c r="X523" s="139">
        <v>44211</v>
      </c>
      <c r="Y523" s="137"/>
      <c r="Z523" s="358"/>
      <c r="AA523" s="1110"/>
    </row>
    <row r="524" spans="1:27" s="869" customFormat="1" ht="26.25" x14ac:dyDescent="0.25">
      <c r="A524" s="1140"/>
      <c r="B524" s="1141"/>
      <c r="C524" s="862"/>
      <c r="D524" s="862"/>
      <c r="E524" s="862"/>
      <c r="F524" s="862"/>
      <c r="G524" s="862"/>
      <c r="H524" s="862"/>
      <c r="I524" s="882"/>
      <c r="J524" s="501">
        <v>754</v>
      </c>
      <c r="K524" s="60" t="s">
        <v>4405</v>
      </c>
      <c r="L524" s="933">
        <v>1671280</v>
      </c>
      <c r="M524" s="933">
        <v>5342850</v>
      </c>
      <c r="N524" s="502" t="s">
        <v>4490</v>
      </c>
      <c r="O524" s="502" t="s">
        <v>5</v>
      </c>
      <c r="P524" s="502">
        <v>1</v>
      </c>
      <c r="Q524" s="502" t="s">
        <v>9293</v>
      </c>
      <c r="R524" s="60" t="s">
        <v>4549</v>
      </c>
      <c r="S524" s="61" t="s">
        <v>10</v>
      </c>
      <c r="T524" s="847" t="s">
        <v>4131</v>
      </c>
      <c r="U524" s="137" t="s">
        <v>4339</v>
      </c>
      <c r="V524" s="137" t="s">
        <v>4285</v>
      </c>
      <c r="W524" s="137" t="s">
        <v>37</v>
      </c>
      <c r="X524" s="139">
        <v>44211</v>
      </c>
      <c r="Y524" s="137"/>
      <c r="Z524" s="358"/>
      <c r="AA524" s="1110"/>
    </row>
    <row r="525" spans="1:27" s="869" customFormat="1" ht="26.25" x14ac:dyDescent="0.25">
      <c r="A525" s="1140"/>
      <c r="B525" s="1141"/>
      <c r="C525" s="862"/>
      <c r="D525" s="862"/>
      <c r="E525" s="862"/>
      <c r="F525" s="862"/>
      <c r="G525" s="862"/>
      <c r="H525" s="862"/>
      <c r="I525" s="882"/>
      <c r="J525" s="501">
        <v>755</v>
      </c>
      <c r="K525" s="60" t="s">
        <v>4406</v>
      </c>
      <c r="L525" s="933">
        <v>1671097</v>
      </c>
      <c r="M525" s="933">
        <v>5342619</v>
      </c>
      <c r="N525" s="502" t="s">
        <v>4491</v>
      </c>
      <c r="O525" s="502" t="s">
        <v>5</v>
      </c>
      <c r="P525" s="502">
        <v>1</v>
      </c>
      <c r="Q525" s="502" t="s">
        <v>9294</v>
      </c>
      <c r="R525" s="60" t="s">
        <v>4549</v>
      </c>
      <c r="S525" s="61" t="s">
        <v>10</v>
      </c>
      <c r="T525" s="847" t="s">
        <v>4283</v>
      </c>
      <c r="U525" s="137" t="s">
        <v>4555</v>
      </c>
      <c r="V525" s="137" t="s">
        <v>4285</v>
      </c>
      <c r="W525" s="137" t="s">
        <v>37</v>
      </c>
      <c r="X525" s="139">
        <v>44211</v>
      </c>
      <c r="Y525" s="137"/>
      <c r="Z525" s="358"/>
      <c r="AA525" s="1110"/>
    </row>
    <row r="526" spans="1:27" s="869" customFormat="1" ht="26.25" x14ac:dyDescent="0.25">
      <c r="A526" s="1140"/>
      <c r="B526" s="1141"/>
      <c r="C526" s="862"/>
      <c r="D526" s="862"/>
      <c r="E526" s="862"/>
      <c r="F526" s="862"/>
      <c r="G526" s="862"/>
      <c r="H526" s="862"/>
      <c r="I526" s="882"/>
      <c r="J526" s="501">
        <v>756</v>
      </c>
      <c r="K526" s="60" t="s">
        <v>4407</v>
      </c>
      <c r="L526" s="933">
        <v>1670934</v>
      </c>
      <c r="M526" s="933">
        <v>5342492</v>
      </c>
      <c r="N526" s="502" t="s">
        <v>4469</v>
      </c>
      <c r="O526" s="502" t="s">
        <v>5</v>
      </c>
      <c r="P526" s="502">
        <v>1</v>
      </c>
      <c r="Q526" s="502" t="s">
        <v>9278</v>
      </c>
      <c r="R526" s="60" t="s">
        <v>4549</v>
      </c>
      <c r="S526" s="61" t="s">
        <v>10</v>
      </c>
      <c r="T526" s="847" t="s">
        <v>4283</v>
      </c>
      <c r="U526" s="137" t="s">
        <v>4555</v>
      </c>
      <c r="V526" s="137" t="s">
        <v>4285</v>
      </c>
      <c r="W526" s="137" t="s">
        <v>37</v>
      </c>
      <c r="X526" s="139">
        <v>44211</v>
      </c>
      <c r="Y526" s="137"/>
      <c r="Z526" s="358"/>
      <c r="AA526" s="1110"/>
    </row>
    <row r="527" spans="1:27" s="869" customFormat="1" ht="26.25" x14ac:dyDescent="0.25">
      <c r="A527" s="1140"/>
      <c r="B527" s="1141"/>
      <c r="C527" s="862"/>
      <c r="D527" s="862"/>
      <c r="E527" s="862"/>
      <c r="F527" s="862"/>
      <c r="G527" s="862"/>
      <c r="H527" s="862"/>
      <c r="I527" s="882"/>
      <c r="J527" s="501">
        <v>757</v>
      </c>
      <c r="K527" s="60" t="s">
        <v>4408</v>
      </c>
      <c r="L527" s="933">
        <v>1669227</v>
      </c>
      <c r="M527" s="933">
        <v>5340727</v>
      </c>
      <c r="N527" s="502" t="s">
        <v>4492</v>
      </c>
      <c r="O527" s="502" t="s">
        <v>5</v>
      </c>
      <c r="P527" s="502">
        <v>1</v>
      </c>
      <c r="Q527" s="502" t="s">
        <v>9295</v>
      </c>
      <c r="R527" s="60" t="s">
        <v>4549</v>
      </c>
      <c r="S527" s="61" t="s">
        <v>10</v>
      </c>
      <c r="T527" s="847" t="s">
        <v>4131</v>
      </c>
      <c r="U527" s="137" t="s">
        <v>4339</v>
      </c>
      <c r="V527" s="137" t="s">
        <v>4285</v>
      </c>
      <c r="W527" s="137" t="s">
        <v>37</v>
      </c>
      <c r="X527" s="139">
        <v>44211</v>
      </c>
      <c r="Y527" s="137"/>
      <c r="Z527" s="358"/>
      <c r="AA527" s="1110"/>
    </row>
    <row r="528" spans="1:27" s="869" customFormat="1" ht="26.25" x14ac:dyDescent="0.25">
      <c r="A528" s="1140"/>
      <c r="B528" s="1141"/>
      <c r="C528" s="862"/>
      <c r="D528" s="862"/>
      <c r="E528" s="862"/>
      <c r="F528" s="862"/>
      <c r="G528" s="862"/>
      <c r="H528" s="862"/>
      <c r="I528" s="882"/>
      <c r="J528" s="501">
        <v>758</v>
      </c>
      <c r="K528" s="60" t="s">
        <v>4409</v>
      </c>
      <c r="L528" s="933">
        <v>1669166</v>
      </c>
      <c r="M528" s="933">
        <v>5340618</v>
      </c>
      <c r="N528" s="502" t="s">
        <v>4493</v>
      </c>
      <c r="O528" s="502" t="s">
        <v>5</v>
      </c>
      <c r="P528" s="502">
        <v>1</v>
      </c>
      <c r="Q528" s="502" t="s">
        <v>9296</v>
      </c>
      <c r="R528" s="60" t="s">
        <v>4549</v>
      </c>
      <c r="S528" s="61" t="s">
        <v>10</v>
      </c>
      <c r="T528" s="847" t="s">
        <v>4131</v>
      </c>
      <c r="U528" s="137" t="s">
        <v>4339</v>
      </c>
      <c r="V528" s="137" t="s">
        <v>4285</v>
      </c>
      <c r="W528" s="137" t="s">
        <v>37</v>
      </c>
      <c r="X528" s="139">
        <v>44211</v>
      </c>
      <c r="Y528" s="137"/>
      <c r="Z528" s="358"/>
      <c r="AA528" s="1110"/>
    </row>
    <row r="529" spans="1:27" s="869" customFormat="1" ht="39" x14ac:dyDescent="0.25">
      <c r="A529" s="1140"/>
      <c r="B529" s="1141"/>
      <c r="C529" s="862"/>
      <c r="D529" s="862"/>
      <c r="E529" s="862"/>
      <c r="F529" s="862"/>
      <c r="G529" s="862"/>
      <c r="H529" s="862"/>
      <c r="I529" s="882"/>
      <c r="J529" s="501">
        <v>759</v>
      </c>
      <c r="K529" s="60" t="s">
        <v>4410</v>
      </c>
      <c r="L529" s="933">
        <v>1668860</v>
      </c>
      <c r="M529" s="933">
        <v>5340449</v>
      </c>
      <c r="N529" s="502" t="s">
        <v>4494</v>
      </c>
      <c r="O529" s="502" t="s">
        <v>61</v>
      </c>
      <c r="P529" s="502" t="s">
        <v>419</v>
      </c>
      <c r="Q529" s="502" t="s">
        <v>4523</v>
      </c>
      <c r="R529" s="60" t="s">
        <v>4329</v>
      </c>
      <c r="S529" s="61" t="s">
        <v>10</v>
      </c>
      <c r="T529" s="847" t="s">
        <v>4528</v>
      </c>
      <c r="U529" s="137" t="s">
        <v>4558</v>
      </c>
      <c r="V529" s="137" t="s">
        <v>4285</v>
      </c>
      <c r="W529" s="137" t="s">
        <v>37</v>
      </c>
      <c r="X529" s="139">
        <v>44211</v>
      </c>
      <c r="Y529" s="137"/>
      <c r="Z529" s="358"/>
      <c r="AA529" s="1110"/>
    </row>
    <row r="530" spans="1:27" s="869" customFormat="1" ht="26.25" x14ac:dyDescent="0.25">
      <c r="A530" s="1140"/>
      <c r="B530" s="1141"/>
      <c r="C530" s="862"/>
      <c r="D530" s="862"/>
      <c r="E530" s="862"/>
      <c r="F530" s="862"/>
      <c r="G530" s="862"/>
      <c r="H530" s="862"/>
      <c r="I530" s="882"/>
      <c r="J530" s="501">
        <v>760</v>
      </c>
      <c r="K530" s="60" t="s">
        <v>4411</v>
      </c>
      <c r="L530" s="933">
        <v>1668808</v>
      </c>
      <c r="M530" s="933">
        <v>5340413</v>
      </c>
      <c r="N530" s="502" t="s">
        <v>4495</v>
      </c>
      <c r="O530" s="502" t="s">
        <v>5</v>
      </c>
      <c r="P530" s="502">
        <v>1</v>
      </c>
      <c r="Q530" s="502" t="s">
        <v>9297</v>
      </c>
      <c r="R530" s="60" t="s">
        <v>4549</v>
      </c>
      <c r="S530" s="61" t="s">
        <v>10</v>
      </c>
      <c r="T530" s="847" t="s">
        <v>4283</v>
      </c>
      <c r="U530" s="137" t="s">
        <v>4555</v>
      </c>
      <c r="V530" s="137" t="s">
        <v>4285</v>
      </c>
      <c r="W530" s="137" t="s">
        <v>37</v>
      </c>
      <c r="X530" s="139">
        <v>44211</v>
      </c>
      <c r="Y530" s="137"/>
      <c r="Z530" s="358"/>
      <c r="AA530" s="1110"/>
    </row>
    <row r="531" spans="1:27" s="869" customFormat="1" ht="26.25" x14ac:dyDescent="0.25">
      <c r="A531" s="1140"/>
      <c r="B531" s="1141"/>
      <c r="C531" s="862"/>
      <c r="D531" s="862"/>
      <c r="E531" s="862"/>
      <c r="F531" s="862"/>
      <c r="G531" s="862"/>
      <c r="H531" s="862"/>
      <c r="I531" s="882"/>
      <c r="J531" s="501">
        <v>761</v>
      </c>
      <c r="K531" s="60" t="s">
        <v>4412</v>
      </c>
      <c r="L531" s="933">
        <v>1668722</v>
      </c>
      <c r="M531" s="933">
        <v>5340332</v>
      </c>
      <c r="N531" s="502" t="s">
        <v>4495</v>
      </c>
      <c r="O531" s="502" t="s">
        <v>5</v>
      </c>
      <c r="P531" s="502">
        <v>1</v>
      </c>
      <c r="Q531" s="502" t="s">
        <v>9297</v>
      </c>
      <c r="R531" s="60" t="s">
        <v>4549</v>
      </c>
      <c r="S531" s="61" t="s">
        <v>10</v>
      </c>
      <c r="T531" s="847" t="s">
        <v>4131</v>
      </c>
      <c r="U531" s="137" t="s">
        <v>4555</v>
      </c>
      <c r="V531" s="137" t="s">
        <v>4285</v>
      </c>
      <c r="W531" s="137" t="s">
        <v>37</v>
      </c>
      <c r="X531" s="139">
        <v>44211</v>
      </c>
      <c r="Y531" s="137"/>
      <c r="Z531" s="358"/>
      <c r="AA531" s="1110"/>
    </row>
    <row r="532" spans="1:27" s="869" customFormat="1" ht="26.25" x14ac:dyDescent="0.25">
      <c r="A532" s="1140"/>
      <c r="B532" s="1141"/>
      <c r="C532" s="862"/>
      <c r="D532" s="862"/>
      <c r="E532" s="862"/>
      <c r="F532" s="862"/>
      <c r="G532" s="862"/>
      <c r="H532" s="862"/>
      <c r="I532" s="882"/>
      <c r="J532" s="501">
        <v>762</v>
      </c>
      <c r="K532" s="60" t="s">
        <v>4413</v>
      </c>
      <c r="L532" s="933">
        <v>1668471</v>
      </c>
      <c r="M532" s="933">
        <v>5339915</v>
      </c>
      <c r="N532" s="502" t="s">
        <v>4496</v>
      </c>
      <c r="O532" s="502" t="s">
        <v>5</v>
      </c>
      <c r="P532" s="502">
        <v>1</v>
      </c>
      <c r="Q532" s="502" t="s">
        <v>9298</v>
      </c>
      <c r="R532" s="60" t="s">
        <v>4549</v>
      </c>
      <c r="S532" s="61" t="s">
        <v>10</v>
      </c>
      <c r="T532" s="847" t="s">
        <v>4131</v>
      </c>
      <c r="U532" s="137" t="s">
        <v>4339</v>
      </c>
      <c r="V532" s="137" t="s">
        <v>4285</v>
      </c>
      <c r="W532" s="137" t="s">
        <v>37</v>
      </c>
      <c r="X532" s="139">
        <v>44211</v>
      </c>
      <c r="Y532" s="137"/>
      <c r="Z532" s="358"/>
      <c r="AA532" s="1110"/>
    </row>
    <row r="533" spans="1:27" s="869" customFormat="1" ht="26.25" x14ac:dyDescent="0.25">
      <c r="A533" s="1140"/>
      <c r="B533" s="1141"/>
      <c r="C533" s="862"/>
      <c r="D533" s="862"/>
      <c r="E533" s="862"/>
      <c r="F533" s="862"/>
      <c r="G533" s="862"/>
      <c r="H533" s="862"/>
      <c r="I533" s="882"/>
      <c r="J533" s="501">
        <v>763</v>
      </c>
      <c r="K533" s="60" t="s">
        <v>4414</v>
      </c>
      <c r="L533" s="933">
        <v>1668247</v>
      </c>
      <c r="M533" s="933">
        <v>5339546</v>
      </c>
      <c r="N533" s="502" t="s">
        <v>4497</v>
      </c>
      <c r="O533" s="502" t="s">
        <v>5</v>
      </c>
      <c r="P533" s="502">
        <v>1</v>
      </c>
      <c r="Q533" s="502" t="s">
        <v>9299</v>
      </c>
      <c r="R533" s="60" t="s">
        <v>4549</v>
      </c>
      <c r="S533" s="61" t="s">
        <v>10</v>
      </c>
      <c r="T533" s="847" t="s">
        <v>4131</v>
      </c>
      <c r="U533" s="137" t="s">
        <v>4339</v>
      </c>
      <c r="V533" s="137" t="s">
        <v>4285</v>
      </c>
      <c r="W533" s="137" t="s">
        <v>37</v>
      </c>
      <c r="X533" s="139">
        <v>44211</v>
      </c>
      <c r="Y533" s="137"/>
      <c r="Z533" s="358"/>
      <c r="AA533" s="1110"/>
    </row>
    <row r="534" spans="1:27" s="869" customFormat="1" ht="26.25" x14ac:dyDescent="0.25">
      <c r="A534" s="1140"/>
      <c r="B534" s="1141"/>
      <c r="C534" s="862"/>
      <c r="D534" s="862"/>
      <c r="E534" s="862"/>
      <c r="F534" s="862"/>
      <c r="G534" s="862"/>
      <c r="H534" s="862"/>
      <c r="I534" s="882"/>
      <c r="J534" s="501">
        <v>764</v>
      </c>
      <c r="K534" s="60" t="s">
        <v>4415</v>
      </c>
      <c r="L534" s="933">
        <v>1667835</v>
      </c>
      <c r="M534" s="933">
        <v>5338820</v>
      </c>
      <c r="N534" s="502" t="s">
        <v>4498</v>
      </c>
      <c r="O534" s="502" t="s">
        <v>5</v>
      </c>
      <c r="P534" s="502">
        <v>1</v>
      </c>
      <c r="Q534" s="502" t="s">
        <v>9300</v>
      </c>
      <c r="R534" s="60" t="s">
        <v>4549</v>
      </c>
      <c r="S534" s="61" t="s">
        <v>10</v>
      </c>
      <c r="T534" s="847" t="s">
        <v>4131</v>
      </c>
      <c r="U534" s="137" t="s">
        <v>4339</v>
      </c>
      <c r="V534" s="137" t="s">
        <v>4285</v>
      </c>
      <c r="W534" s="137" t="s">
        <v>37</v>
      </c>
      <c r="X534" s="139">
        <v>44211</v>
      </c>
      <c r="Y534" s="137"/>
      <c r="Z534" s="358"/>
      <c r="AA534" s="1110"/>
    </row>
    <row r="535" spans="1:27" s="869" customFormat="1" ht="26.25" x14ac:dyDescent="0.25">
      <c r="A535" s="1140"/>
      <c r="B535" s="1141"/>
      <c r="C535" s="862"/>
      <c r="D535" s="862"/>
      <c r="E535" s="862"/>
      <c r="F535" s="862"/>
      <c r="G535" s="862"/>
      <c r="H535" s="862"/>
      <c r="I535" s="882"/>
      <c r="J535" s="501">
        <v>765</v>
      </c>
      <c r="K535" s="60" t="s">
        <v>4416</v>
      </c>
      <c r="L535" s="933">
        <v>1667736</v>
      </c>
      <c r="M535" s="933">
        <v>5339112</v>
      </c>
      <c r="N535" s="502" t="s">
        <v>4499</v>
      </c>
      <c r="O535" s="502" t="s">
        <v>5</v>
      </c>
      <c r="P535" s="502">
        <v>1</v>
      </c>
      <c r="Q535" s="502" t="s">
        <v>9301</v>
      </c>
      <c r="R535" s="60" t="s">
        <v>4549</v>
      </c>
      <c r="S535" s="61" t="s">
        <v>10</v>
      </c>
      <c r="T535" s="847" t="s">
        <v>4131</v>
      </c>
      <c r="U535" s="137" t="s">
        <v>4339</v>
      </c>
      <c r="V535" s="137" t="s">
        <v>4285</v>
      </c>
      <c r="W535" s="137" t="s">
        <v>37</v>
      </c>
      <c r="X535" s="139">
        <v>44211</v>
      </c>
      <c r="Y535" s="137"/>
      <c r="Z535" s="358"/>
      <c r="AA535" s="1110"/>
    </row>
    <row r="536" spans="1:27" s="869" customFormat="1" ht="26.25" x14ac:dyDescent="0.25">
      <c r="A536" s="1140"/>
      <c r="B536" s="1141"/>
      <c r="C536" s="862"/>
      <c r="D536" s="862"/>
      <c r="E536" s="862"/>
      <c r="F536" s="862"/>
      <c r="G536" s="862"/>
      <c r="H536" s="862"/>
      <c r="I536" s="882"/>
      <c r="J536" s="501">
        <v>778</v>
      </c>
      <c r="K536" s="60" t="s">
        <v>3822</v>
      </c>
      <c r="L536" s="933">
        <v>1687830</v>
      </c>
      <c r="M536" s="933">
        <v>5354116</v>
      </c>
      <c r="N536" s="502" t="s">
        <v>2864</v>
      </c>
      <c r="O536" s="502" t="s">
        <v>194</v>
      </c>
      <c r="P536" s="502">
        <v>1</v>
      </c>
      <c r="Q536" s="502" t="s">
        <v>9302</v>
      </c>
      <c r="R536" s="60" t="s">
        <v>4550</v>
      </c>
      <c r="S536" s="61" t="s">
        <v>10</v>
      </c>
      <c r="T536" s="847" t="s">
        <v>4543</v>
      </c>
      <c r="U536" s="137" t="s">
        <v>4339</v>
      </c>
      <c r="V536" s="137" t="s">
        <v>4285</v>
      </c>
      <c r="W536" s="137" t="s">
        <v>37</v>
      </c>
      <c r="X536" s="139">
        <v>44211</v>
      </c>
      <c r="Y536" s="137"/>
      <c r="Z536" s="358"/>
      <c r="AA536" s="1110"/>
    </row>
    <row r="537" spans="1:27" s="869" customFormat="1" ht="26.25" x14ac:dyDescent="0.25">
      <c r="A537" s="1140"/>
      <c r="B537" s="1141"/>
      <c r="C537" s="862"/>
      <c r="D537" s="862"/>
      <c r="E537" s="862"/>
      <c r="F537" s="862"/>
      <c r="G537" s="862"/>
      <c r="H537" s="862"/>
      <c r="I537" s="882"/>
      <c r="J537" s="501">
        <v>779</v>
      </c>
      <c r="K537" s="60" t="s">
        <v>3823</v>
      </c>
      <c r="L537" s="933">
        <v>1687699</v>
      </c>
      <c r="M537" s="933">
        <v>5354088</v>
      </c>
      <c r="N537" s="502" t="s">
        <v>4500</v>
      </c>
      <c r="O537" s="502" t="s">
        <v>194</v>
      </c>
      <c r="P537" s="502">
        <v>1</v>
      </c>
      <c r="Q537" s="502" t="s">
        <v>9303</v>
      </c>
      <c r="R537" s="60" t="s">
        <v>4550</v>
      </c>
      <c r="S537" s="61" t="s">
        <v>10</v>
      </c>
      <c r="T537" s="847" t="s">
        <v>4544</v>
      </c>
      <c r="U537" s="137" t="s">
        <v>4559</v>
      </c>
      <c r="V537" s="137" t="s">
        <v>4285</v>
      </c>
      <c r="W537" s="137" t="s">
        <v>37</v>
      </c>
      <c r="X537" s="139">
        <v>44211</v>
      </c>
      <c r="Y537" s="137"/>
      <c r="Z537" s="358"/>
      <c r="AA537" s="1110"/>
    </row>
    <row r="538" spans="1:27" s="869" customFormat="1" ht="26.25" x14ac:dyDescent="0.25">
      <c r="A538" s="1140"/>
      <c r="B538" s="1141"/>
      <c r="C538" s="862"/>
      <c r="D538" s="862"/>
      <c r="E538" s="862"/>
      <c r="F538" s="862"/>
      <c r="G538" s="862"/>
      <c r="H538" s="862"/>
      <c r="I538" s="882"/>
      <c r="J538" s="501">
        <v>780</v>
      </c>
      <c r="K538" s="60" t="s">
        <v>3830</v>
      </c>
      <c r="L538" s="933">
        <v>1686686</v>
      </c>
      <c r="M538" s="933">
        <v>5353791</v>
      </c>
      <c r="N538" s="502" t="s">
        <v>4501</v>
      </c>
      <c r="O538" s="502" t="s">
        <v>194</v>
      </c>
      <c r="P538" s="502">
        <v>1</v>
      </c>
      <c r="Q538" s="502" t="s">
        <v>9304</v>
      </c>
      <c r="R538" s="60" t="s">
        <v>4550</v>
      </c>
      <c r="S538" s="61" t="s">
        <v>10</v>
      </c>
      <c r="T538" s="847" t="s">
        <v>4545</v>
      </c>
      <c r="U538" s="137" t="s">
        <v>4559</v>
      </c>
      <c r="V538" s="137" t="s">
        <v>4285</v>
      </c>
      <c r="W538" s="137" t="s">
        <v>37</v>
      </c>
      <c r="X538" s="139">
        <v>44211</v>
      </c>
      <c r="Y538" s="137"/>
      <c r="Z538" s="358"/>
      <c r="AA538" s="1110"/>
    </row>
    <row r="539" spans="1:27" s="869" customFormat="1" ht="26.25" x14ac:dyDescent="0.25">
      <c r="A539" s="1140"/>
      <c r="B539" s="1141"/>
      <c r="C539" s="862"/>
      <c r="D539" s="862"/>
      <c r="E539" s="862"/>
      <c r="F539" s="862"/>
      <c r="G539" s="862"/>
      <c r="H539" s="862"/>
      <c r="I539" s="882"/>
      <c r="J539" s="501">
        <v>781</v>
      </c>
      <c r="K539" s="60" t="s">
        <v>3831</v>
      </c>
      <c r="L539" s="933">
        <v>1686399</v>
      </c>
      <c r="M539" s="933">
        <v>5353669</v>
      </c>
      <c r="N539" s="502" t="s">
        <v>4502</v>
      </c>
      <c r="O539" s="502" t="s">
        <v>194</v>
      </c>
      <c r="P539" s="502">
        <v>1</v>
      </c>
      <c r="Q539" s="502" t="s">
        <v>9305</v>
      </c>
      <c r="R539" s="60" t="s">
        <v>4550</v>
      </c>
      <c r="S539" s="61" t="s">
        <v>10</v>
      </c>
      <c r="T539" s="847" t="s">
        <v>4546</v>
      </c>
      <c r="U539" s="137" t="s">
        <v>4559</v>
      </c>
      <c r="V539" s="137" t="s">
        <v>4285</v>
      </c>
      <c r="W539" s="137" t="s">
        <v>37</v>
      </c>
      <c r="X539" s="139">
        <v>44211</v>
      </c>
      <c r="Y539" s="137"/>
      <c r="Z539" s="358"/>
      <c r="AA539" s="1110"/>
    </row>
    <row r="540" spans="1:27" s="869" customFormat="1" ht="26.25" x14ac:dyDescent="0.25">
      <c r="A540" s="1140"/>
      <c r="B540" s="1141"/>
      <c r="C540" s="862"/>
      <c r="D540" s="862"/>
      <c r="E540" s="862"/>
      <c r="F540" s="862"/>
      <c r="G540" s="862"/>
      <c r="H540" s="862"/>
      <c r="I540" s="882"/>
      <c r="J540" s="501">
        <v>782</v>
      </c>
      <c r="K540" s="60" t="s">
        <v>4417</v>
      </c>
      <c r="L540" s="933">
        <v>1683484</v>
      </c>
      <c r="M540" s="933">
        <v>5352387</v>
      </c>
      <c r="N540" s="502" t="s">
        <v>4503</v>
      </c>
      <c r="O540" s="502" t="s">
        <v>194</v>
      </c>
      <c r="P540" s="502">
        <v>1</v>
      </c>
      <c r="Q540" s="502" t="s">
        <v>9306</v>
      </c>
      <c r="R540" s="60" t="s">
        <v>4550</v>
      </c>
      <c r="S540" s="61" t="s">
        <v>10</v>
      </c>
      <c r="T540" s="847" t="s">
        <v>4547</v>
      </c>
      <c r="U540" s="137" t="s">
        <v>4339</v>
      </c>
      <c r="V540" s="137" t="s">
        <v>4285</v>
      </c>
      <c r="W540" s="137" t="s">
        <v>37</v>
      </c>
      <c r="X540" s="139">
        <v>44211</v>
      </c>
      <c r="Y540" s="137"/>
      <c r="Z540" s="358"/>
      <c r="AA540" s="1110"/>
    </row>
    <row r="541" spans="1:27" s="869" customFormat="1" ht="26.25" x14ac:dyDescent="0.25">
      <c r="A541" s="1140"/>
      <c r="B541" s="1141"/>
      <c r="C541" s="862"/>
      <c r="D541" s="862"/>
      <c r="E541" s="862"/>
      <c r="F541" s="862"/>
      <c r="G541" s="862"/>
      <c r="H541" s="862"/>
      <c r="I541" s="882"/>
      <c r="J541" s="501">
        <v>783</v>
      </c>
      <c r="K541" s="60" t="s">
        <v>3841</v>
      </c>
      <c r="L541" s="933">
        <v>1683333</v>
      </c>
      <c r="M541" s="933">
        <v>5352313</v>
      </c>
      <c r="N541" s="502" t="s">
        <v>4501</v>
      </c>
      <c r="O541" s="502" t="s">
        <v>194</v>
      </c>
      <c r="P541" s="502">
        <v>1</v>
      </c>
      <c r="Q541" s="502" t="s">
        <v>9304</v>
      </c>
      <c r="R541" s="60" t="s">
        <v>4550</v>
      </c>
      <c r="S541" s="61" t="s">
        <v>10</v>
      </c>
      <c r="T541" s="847" t="s">
        <v>4548</v>
      </c>
      <c r="U541" s="137" t="s">
        <v>4555</v>
      </c>
      <c r="V541" s="137" t="s">
        <v>4285</v>
      </c>
      <c r="W541" s="137" t="s">
        <v>37</v>
      </c>
      <c r="X541" s="139">
        <v>44211</v>
      </c>
      <c r="Y541" s="137"/>
      <c r="Z541" s="358"/>
      <c r="AA541" s="1110"/>
    </row>
    <row r="542" spans="1:27" s="869" customFormat="1" ht="26.25" x14ac:dyDescent="0.25">
      <c r="A542" s="1140"/>
      <c r="B542" s="1141"/>
      <c r="C542" s="862"/>
      <c r="D542" s="862"/>
      <c r="E542" s="862"/>
      <c r="F542" s="862"/>
      <c r="G542" s="862"/>
      <c r="H542" s="862"/>
      <c r="I542" s="882"/>
      <c r="J542" s="501">
        <v>784</v>
      </c>
      <c r="K542" s="60" t="s">
        <v>4418</v>
      </c>
      <c r="L542" s="933">
        <v>1681810</v>
      </c>
      <c r="M542" s="933">
        <v>5351570</v>
      </c>
      <c r="N542" s="502" t="s">
        <v>4504</v>
      </c>
      <c r="O542" s="502" t="s">
        <v>194</v>
      </c>
      <c r="P542" s="502">
        <v>1</v>
      </c>
      <c r="Q542" s="502" t="s">
        <v>9307</v>
      </c>
      <c r="R542" s="60" t="s">
        <v>4550</v>
      </c>
      <c r="S542" s="61" t="s">
        <v>10</v>
      </c>
      <c r="T542" s="847" t="s">
        <v>4547</v>
      </c>
      <c r="U542" s="137" t="s">
        <v>4555</v>
      </c>
      <c r="V542" s="137" t="s">
        <v>4285</v>
      </c>
      <c r="W542" s="137" t="s">
        <v>37</v>
      </c>
      <c r="X542" s="139">
        <v>44211</v>
      </c>
      <c r="Y542" s="137"/>
      <c r="Z542" s="358"/>
      <c r="AA542" s="1110"/>
    </row>
    <row r="543" spans="1:27" s="869" customFormat="1" ht="26.25" x14ac:dyDescent="0.25">
      <c r="A543" s="1140"/>
      <c r="B543" s="1141"/>
      <c r="C543" s="862"/>
      <c r="D543" s="862"/>
      <c r="E543" s="862"/>
      <c r="F543" s="862"/>
      <c r="G543" s="862"/>
      <c r="H543" s="862"/>
      <c r="I543" s="882"/>
      <c r="J543" s="501">
        <v>785</v>
      </c>
      <c r="K543" s="60" t="s">
        <v>4419</v>
      </c>
      <c r="L543" s="933">
        <v>1675815</v>
      </c>
      <c r="M543" s="933">
        <v>5347200</v>
      </c>
      <c r="N543" s="502" t="s">
        <v>3112</v>
      </c>
      <c r="O543" s="502" t="s">
        <v>194</v>
      </c>
      <c r="P543" s="502">
        <v>1</v>
      </c>
      <c r="Q543" s="502" t="s">
        <v>9308</v>
      </c>
      <c r="R543" s="60" t="s">
        <v>4550</v>
      </c>
      <c r="S543" s="61" t="s">
        <v>10</v>
      </c>
      <c r="T543" s="847" t="s">
        <v>4337</v>
      </c>
      <c r="U543" s="137" t="s">
        <v>4557</v>
      </c>
      <c r="V543" s="137" t="s">
        <v>4285</v>
      </c>
      <c r="W543" s="137" t="s">
        <v>37</v>
      </c>
      <c r="X543" s="139">
        <v>44211</v>
      </c>
      <c r="Y543" s="137"/>
      <c r="Z543" s="358"/>
      <c r="AA543" s="1110"/>
    </row>
    <row r="544" spans="1:27" s="869" customFormat="1" ht="26.25" x14ac:dyDescent="0.25">
      <c r="A544" s="1140"/>
      <c r="B544" s="1141"/>
      <c r="C544" s="862"/>
      <c r="D544" s="862"/>
      <c r="E544" s="862"/>
      <c r="F544" s="862"/>
      <c r="G544" s="862"/>
      <c r="H544" s="862"/>
      <c r="I544" s="882"/>
      <c r="J544" s="501">
        <v>786</v>
      </c>
      <c r="K544" s="60" t="s">
        <v>4420</v>
      </c>
      <c r="L544" s="933">
        <v>1675667</v>
      </c>
      <c r="M544" s="933">
        <v>5346992</v>
      </c>
      <c r="N544" s="502" t="s">
        <v>3112</v>
      </c>
      <c r="O544" s="502" t="s">
        <v>194</v>
      </c>
      <c r="P544" s="502">
        <v>1</v>
      </c>
      <c r="Q544" s="502" t="s">
        <v>9308</v>
      </c>
      <c r="R544" s="60" t="s">
        <v>4550</v>
      </c>
      <c r="S544" s="61" t="s">
        <v>10</v>
      </c>
      <c r="T544" s="847" t="s">
        <v>4337</v>
      </c>
      <c r="U544" s="137" t="s">
        <v>4557</v>
      </c>
      <c r="V544" s="137" t="s">
        <v>4285</v>
      </c>
      <c r="W544" s="137" t="s">
        <v>37</v>
      </c>
      <c r="X544" s="139">
        <v>44211</v>
      </c>
      <c r="Y544" s="137"/>
      <c r="Z544" s="358"/>
      <c r="AA544" s="1110"/>
    </row>
    <row r="545" spans="1:27" s="869" customFormat="1" ht="26.25" x14ac:dyDescent="0.25">
      <c r="A545" s="1140"/>
      <c r="B545" s="1141"/>
      <c r="C545" s="862"/>
      <c r="D545" s="862"/>
      <c r="E545" s="862"/>
      <c r="F545" s="862"/>
      <c r="G545" s="862"/>
      <c r="H545" s="862"/>
      <c r="I545" s="882"/>
      <c r="J545" s="501">
        <v>787</v>
      </c>
      <c r="K545" s="60" t="s">
        <v>4421</v>
      </c>
      <c r="L545" s="933">
        <v>1674490</v>
      </c>
      <c r="M545" s="933">
        <v>5345764</v>
      </c>
      <c r="N545" s="502" t="s">
        <v>4497</v>
      </c>
      <c r="O545" s="502" t="s">
        <v>194</v>
      </c>
      <c r="P545" s="502">
        <v>1</v>
      </c>
      <c r="Q545" s="502" t="s">
        <v>9309</v>
      </c>
      <c r="R545" s="60" t="s">
        <v>4550</v>
      </c>
      <c r="S545" s="61" t="s">
        <v>10</v>
      </c>
      <c r="T545" s="847" t="s">
        <v>4337</v>
      </c>
      <c r="U545" s="137" t="s">
        <v>4557</v>
      </c>
      <c r="V545" s="137" t="s">
        <v>4285</v>
      </c>
      <c r="W545" s="137" t="s">
        <v>37</v>
      </c>
      <c r="X545" s="139">
        <v>44211</v>
      </c>
      <c r="Y545" s="137"/>
      <c r="Z545" s="358"/>
      <c r="AA545" s="1110"/>
    </row>
    <row r="546" spans="1:27" s="869" customFormat="1" ht="26.25" x14ac:dyDescent="0.25">
      <c r="A546" s="1140"/>
      <c r="B546" s="1141"/>
      <c r="C546" s="862"/>
      <c r="D546" s="862"/>
      <c r="E546" s="862"/>
      <c r="F546" s="862"/>
      <c r="G546" s="862"/>
      <c r="H546" s="862"/>
      <c r="I546" s="882"/>
      <c r="J546" s="501">
        <v>788</v>
      </c>
      <c r="K546" s="60" t="s">
        <v>4422</v>
      </c>
      <c r="L546" s="933">
        <v>1673790</v>
      </c>
      <c r="M546" s="933">
        <v>5345172</v>
      </c>
      <c r="N546" s="502" t="s">
        <v>4505</v>
      </c>
      <c r="O546" s="502" t="s">
        <v>194</v>
      </c>
      <c r="P546" s="502">
        <v>1</v>
      </c>
      <c r="Q546" s="502" t="s">
        <v>9310</v>
      </c>
      <c r="R546" s="60" t="s">
        <v>4550</v>
      </c>
      <c r="S546" s="61" t="s">
        <v>10</v>
      </c>
      <c r="T546" s="847" t="s">
        <v>4337</v>
      </c>
      <c r="U546" s="137" t="s">
        <v>4557</v>
      </c>
      <c r="V546" s="137" t="s">
        <v>4285</v>
      </c>
      <c r="W546" s="137" t="s">
        <v>37</v>
      </c>
      <c r="X546" s="139">
        <v>44211</v>
      </c>
      <c r="Y546" s="137"/>
      <c r="Z546" s="358"/>
      <c r="AA546" s="1110"/>
    </row>
    <row r="547" spans="1:27" s="869" customFormat="1" ht="26.25" x14ac:dyDescent="0.25">
      <c r="A547" s="1140"/>
      <c r="B547" s="1141"/>
      <c r="C547" s="862"/>
      <c r="D547" s="862"/>
      <c r="E547" s="862"/>
      <c r="F547" s="862"/>
      <c r="G547" s="862"/>
      <c r="H547" s="862"/>
      <c r="I547" s="882"/>
      <c r="J547" s="501">
        <v>789</v>
      </c>
      <c r="K547" s="60" t="s">
        <v>4423</v>
      </c>
      <c r="L547" s="933">
        <v>1673386</v>
      </c>
      <c r="M547" s="933">
        <v>5344837</v>
      </c>
      <c r="N547" s="502" t="s">
        <v>4506</v>
      </c>
      <c r="O547" s="502" t="s">
        <v>194</v>
      </c>
      <c r="P547" s="502">
        <v>1</v>
      </c>
      <c r="Q547" s="502" t="s">
        <v>9311</v>
      </c>
      <c r="R547" s="60" t="s">
        <v>4550</v>
      </c>
      <c r="S547" s="61" t="s">
        <v>10</v>
      </c>
      <c r="T547" s="847" t="s">
        <v>4337</v>
      </c>
      <c r="U547" s="137" t="s">
        <v>4557</v>
      </c>
      <c r="V547" s="137" t="s">
        <v>4285</v>
      </c>
      <c r="W547" s="137" t="s">
        <v>37</v>
      </c>
      <c r="X547" s="139">
        <v>44211</v>
      </c>
      <c r="Y547" s="137"/>
      <c r="Z547" s="358"/>
      <c r="AA547" s="1110"/>
    </row>
    <row r="548" spans="1:27" s="869" customFormat="1" ht="39" x14ac:dyDescent="0.25">
      <c r="A548" s="1140"/>
      <c r="B548" s="1141"/>
      <c r="C548" s="862"/>
      <c r="D548" s="862"/>
      <c r="E548" s="862"/>
      <c r="F548" s="862"/>
      <c r="G548" s="862"/>
      <c r="H548" s="862"/>
      <c r="I548" s="882"/>
      <c r="J548" s="501">
        <v>790</v>
      </c>
      <c r="K548" s="60" t="s">
        <v>4424</v>
      </c>
      <c r="L548" s="933">
        <v>1672854</v>
      </c>
      <c r="M548" s="933">
        <v>5344332</v>
      </c>
      <c r="N548" s="502" t="s">
        <v>4497</v>
      </c>
      <c r="O548" s="502" t="s">
        <v>194</v>
      </c>
      <c r="P548" s="502">
        <v>1</v>
      </c>
      <c r="Q548" s="502" t="s">
        <v>9309</v>
      </c>
      <c r="R548" s="60" t="s">
        <v>4550</v>
      </c>
      <c r="S548" s="61" t="s">
        <v>10</v>
      </c>
      <c r="T548" s="847" t="s">
        <v>4337</v>
      </c>
      <c r="U548" s="137" t="s">
        <v>4341</v>
      </c>
      <c r="V548" s="137" t="s">
        <v>4285</v>
      </c>
      <c r="W548" s="137" t="s">
        <v>37</v>
      </c>
      <c r="X548" s="139">
        <v>44211</v>
      </c>
      <c r="Y548" s="137"/>
      <c r="Z548" s="358"/>
      <c r="AA548" s="1110"/>
    </row>
    <row r="549" spans="1:27" s="869" customFormat="1" ht="27" thickBot="1" x14ac:dyDescent="0.3">
      <c r="A549" s="1142"/>
      <c r="B549" s="1143"/>
      <c r="C549" s="863"/>
      <c r="D549" s="863"/>
      <c r="E549" s="863"/>
      <c r="F549" s="863"/>
      <c r="G549" s="863"/>
      <c r="H549" s="863"/>
      <c r="I549" s="883"/>
      <c r="J549" s="503">
        <v>791</v>
      </c>
      <c r="K549" s="62" t="s">
        <v>4425</v>
      </c>
      <c r="L549" s="923">
        <v>1669915</v>
      </c>
      <c r="M549" s="923">
        <v>5341458</v>
      </c>
      <c r="N549" s="504" t="s">
        <v>4507</v>
      </c>
      <c r="O549" s="504" t="s">
        <v>194</v>
      </c>
      <c r="P549" s="504">
        <v>1</v>
      </c>
      <c r="Q549" s="504" t="s">
        <v>9312</v>
      </c>
      <c r="R549" s="62" t="s">
        <v>4550</v>
      </c>
      <c r="S549" s="63" t="s">
        <v>10</v>
      </c>
      <c r="T549" s="848" t="s">
        <v>4337</v>
      </c>
      <c r="U549" s="155" t="s">
        <v>4557</v>
      </c>
      <c r="V549" s="155" t="s">
        <v>4285</v>
      </c>
      <c r="W549" s="155" t="s">
        <v>37</v>
      </c>
      <c r="X549" s="172">
        <v>44211</v>
      </c>
      <c r="Y549" s="155"/>
      <c r="Z549" s="362"/>
      <c r="AA549" s="1111"/>
    </row>
    <row r="550" spans="1:27" s="871" customFormat="1" ht="27" thickBot="1" x14ac:dyDescent="0.3">
      <c r="A550" s="334" t="s">
        <v>1303</v>
      </c>
      <c r="B550" s="333" t="s">
        <v>7666</v>
      </c>
      <c r="C550" s="84">
        <v>8</v>
      </c>
      <c r="D550" s="591" t="s">
        <v>57</v>
      </c>
      <c r="E550" s="591" t="s">
        <v>53</v>
      </c>
      <c r="F550" s="149" t="s">
        <v>4679</v>
      </c>
      <c r="G550" s="149" t="s">
        <v>4996</v>
      </c>
      <c r="H550" s="84"/>
      <c r="I550" s="124"/>
      <c r="J550" s="89">
        <v>819</v>
      </c>
      <c r="K550" s="396" t="s">
        <v>4671</v>
      </c>
      <c r="L550" s="265">
        <v>1832178.2995</v>
      </c>
      <c r="M550" s="265">
        <v>5853204.4753</v>
      </c>
      <c r="N550" s="109">
        <v>1</v>
      </c>
      <c r="O550" s="109" t="s">
        <v>194</v>
      </c>
      <c r="P550" s="109">
        <v>2</v>
      </c>
      <c r="Q550" s="109">
        <v>1.2</v>
      </c>
      <c r="R550" s="396" t="s">
        <v>4329</v>
      </c>
      <c r="S550" s="90" t="s">
        <v>85</v>
      </c>
      <c r="T550" s="446" t="s">
        <v>4711</v>
      </c>
      <c r="U550" s="208" t="s">
        <v>4717</v>
      </c>
      <c r="V550" s="92" t="s">
        <v>1322</v>
      </c>
      <c r="W550" s="92" t="s">
        <v>37</v>
      </c>
      <c r="X550" s="93">
        <v>44216</v>
      </c>
      <c r="Y550" s="92"/>
      <c r="Z550" s="364"/>
      <c r="AA550" s="1109"/>
    </row>
    <row r="551" spans="1:27" s="871" customFormat="1" ht="27" thickBot="1" x14ac:dyDescent="0.3">
      <c r="A551" s="487" t="s">
        <v>1303</v>
      </c>
      <c r="B551" s="128" t="s">
        <v>6811</v>
      </c>
      <c r="C551" s="72">
        <v>14</v>
      </c>
      <c r="D551" s="586" t="s">
        <v>57</v>
      </c>
      <c r="E551" s="586" t="s">
        <v>53</v>
      </c>
      <c r="F551" s="140" t="s">
        <v>4679</v>
      </c>
      <c r="G551" s="140" t="s">
        <v>1238</v>
      </c>
      <c r="H551" s="72"/>
      <c r="I551" s="381"/>
      <c r="J551" s="87">
        <v>816</v>
      </c>
      <c r="K551" s="360" t="s">
        <v>4640</v>
      </c>
      <c r="L551" s="914">
        <v>1848182.1998999999</v>
      </c>
      <c r="M551" s="914">
        <v>5808247.5193999996</v>
      </c>
      <c r="N551" s="199" t="s">
        <v>4680</v>
      </c>
      <c r="O551" s="199" t="s">
        <v>194</v>
      </c>
      <c r="P551" s="199">
        <v>1</v>
      </c>
      <c r="Q551" s="199" t="s">
        <v>4710</v>
      </c>
      <c r="R551" s="360" t="s">
        <v>4329</v>
      </c>
      <c r="S551" s="88" t="s">
        <v>85</v>
      </c>
      <c r="T551" s="446" t="s">
        <v>4711</v>
      </c>
      <c r="U551" s="208" t="s">
        <v>4712</v>
      </c>
      <c r="V551" s="92" t="s">
        <v>1322</v>
      </c>
      <c r="W551" s="92" t="s">
        <v>37</v>
      </c>
      <c r="X551" s="93">
        <v>44216</v>
      </c>
      <c r="Y551" s="92"/>
      <c r="Z551" s="364"/>
      <c r="AA551" s="1109"/>
    </row>
    <row r="552" spans="1:27" s="871" customFormat="1" ht="27" thickBot="1" x14ac:dyDescent="0.3">
      <c r="A552" s="1047"/>
      <c r="B552" s="323"/>
      <c r="C552" s="69"/>
      <c r="D552" s="857"/>
      <c r="E552" s="857"/>
      <c r="F552" s="144"/>
      <c r="G552" s="144"/>
      <c r="H552" s="78"/>
      <c r="I552" s="429"/>
      <c r="J552" s="87">
        <v>817</v>
      </c>
      <c r="K552" s="360" t="s">
        <v>4713</v>
      </c>
      <c r="L552" s="198">
        <v>1848855.3448999999</v>
      </c>
      <c r="M552" s="198">
        <v>5807414.6638000002</v>
      </c>
      <c r="N552" s="199">
        <v>1.5</v>
      </c>
      <c r="O552" s="199" t="s">
        <v>194</v>
      </c>
      <c r="P552" s="199" t="s">
        <v>4714</v>
      </c>
      <c r="Q552" s="199">
        <v>1.7</v>
      </c>
      <c r="R552" s="360" t="s">
        <v>4329</v>
      </c>
      <c r="S552" s="88" t="s">
        <v>85</v>
      </c>
      <c r="T552" s="446" t="s">
        <v>4715</v>
      </c>
      <c r="U552" s="208" t="s">
        <v>4716</v>
      </c>
      <c r="V552" s="92" t="s">
        <v>1322</v>
      </c>
      <c r="W552" s="92" t="s">
        <v>37</v>
      </c>
      <c r="X552" s="93">
        <v>44216</v>
      </c>
      <c r="Y552" s="92"/>
      <c r="Z552" s="364"/>
      <c r="AA552" s="1109"/>
    </row>
    <row r="553" spans="1:27" s="871" customFormat="1" ht="27" thickBot="1" x14ac:dyDescent="0.3">
      <c r="A553" s="334" t="s">
        <v>1303</v>
      </c>
      <c r="B553" s="333" t="s">
        <v>6814</v>
      </c>
      <c r="C553" s="84">
        <v>13</v>
      </c>
      <c r="D553" s="591" t="s">
        <v>57</v>
      </c>
      <c r="E553" s="591" t="s">
        <v>53</v>
      </c>
      <c r="F553" s="149" t="s">
        <v>4679</v>
      </c>
      <c r="G553" s="149" t="s">
        <v>4996</v>
      </c>
      <c r="H553" s="84"/>
      <c r="I553" s="124"/>
      <c r="J553" s="89">
        <v>818</v>
      </c>
      <c r="K553" s="396" t="s">
        <v>4664</v>
      </c>
      <c r="L553" s="265">
        <v>1832340.1301</v>
      </c>
      <c r="M553" s="265">
        <v>5842302.0138999997</v>
      </c>
      <c r="N553" s="109">
        <v>1.6</v>
      </c>
      <c r="O553" s="109" t="s">
        <v>194</v>
      </c>
      <c r="P553" s="109">
        <v>1</v>
      </c>
      <c r="Q553" s="109">
        <v>1.8</v>
      </c>
      <c r="R553" s="396" t="s">
        <v>4329</v>
      </c>
      <c r="S553" s="90" t="s">
        <v>85</v>
      </c>
      <c r="T553" s="446" t="s">
        <v>4711</v>
      </c>
      <c r="U553" s="208" t="s">
        <v>4712</v>
      </c>
      <c r="V553" s="92" t="s">
        <v>1322</v>
      </c>
      <c r="W553" s="92" t="s">
        <v>37</v>
      </c>
      <c r="X553" s="93">
        <v>44216</v>
      </c>
      <c r="Y553" s="92"/>
      <c r="Z553" s="364"/>
      <c r="AA553" s="1109"/>
    </row>
    <row r="554" spans="1:27" s="871" customFormat="1" ht="27" thickBot="1" x14ac:dyDescent="0.3">
      <c r="A554" s="345" t="s">
        <v>1852</v>
      </c>
      <c r="B554" s="331" t="s">
        <v>1852</v>
      </c>
      <c r="C554" s="83">
        <v>33</v>
      </c>
      <c r="D554" s="588" t="s">
        <v>57</v>
      </c>
      <c r="E554" s="588"/>
      <c r="F554" s="83" t="s">
        <v>155</v>
      </c>
      <c r="G554" s="268" t="s">
        <v>1238</v>
      </c>
      <c r="H554" s="83"/>
      <c r="I554" s="395"/>
      <c r="J554" s="87">
        <v>802</v>
      </c>
      <c r="K554" s="360" t="s">
        <v>1859</v>
      </c>
      <c r="L554" s="198">
        <v>1674662.7790000001</v>
      </c>
      <c r="M554" s="198">
        <v>5640962.0389</v>
      </c>
      <c r="N554" s="199" t="s">
        <v>4594</v>
      </c>
      <c r="O554" s="199" t="s">
        <v>194</v>
      </c>
      <c r="P554" s="199">
        <v>3</v>
      </c>
      <c r="Q554" s="199" t="s">
        <v>4595</v>
      </c>
      <c r="R554" s="360" t="s">
        <v>4125</v>
      </c>
      <c r="S554" s="88" t="s">
        <v>16</v>
      </c>
      <c r="T554" s="446" t="s">
        <v>4591</v>
      </c>
      <c r="U554" s="208" t="s">
        <v>4596</v>
      </c>
      <c r="V554" s="208" t="s">
        <v>1868</v>
      </c>
      <c r="W554" s="208" t="s">
        <v>37</v>
      </c>
      <c r="X554" s="209">
        <v>44215</v>
      </c>
      <c r="Y554" s="208"/>
      <c r="Z554" s="364"/>
      <c r="AA554" s="1109"/>
    </row>
    <row r="555" spans="1:27" s="869" customFormat="1" ht="78" thickBot="1" x14ac:dyDescent="0.3">
      <c r="A555" s="334" t="s">
        <v>1994</v>
      </c>
      <c r="B555" s="333" t="s">
        <v>1994</v>
      </c>
      <c r="C555" s="84">
        <v>713</v>
      </c>
      <c r="D555" s="591" t="s">
        <v>52</v>
      </c>
      <c r="E555" s="591" t="s">
        <v>53</v>
      </c>
      <c r="F555" s="149" t="s">
        <v>2002</v>
      </c>
      <c r="G555" s="84" t="s">
        <v>1973</v>
      </c>
      <c r="H555" s="84"/>
      <c r="I555" s="884"/>
      <c r="J555" s="84">
        <v>4043</v>
      </c>
      <c r="K555" s="396" t="s">
        <v>6563</v>
      </c>
      <c r="L555" s="265">
        <v>1406238.2304849999</v>
      </c>
      <c r="M555" s="265">
        <v>5056364.1131140003</v>
      </c>
      <c r="N555" s="84" t="s">
        <v>7968</v>
      </c>
      <c r="O555" s="84" t="s">
        <v>194</v>
      </c>
      <c r="P555" s="84">
        <v>2</v>
      </c>
      <c r="Q555" s="84" t="s">
        <v>8974</v>
      </c>
      <c r="R555" s="396" t="s">
        <v>8975</v>
      </c>
      <c r="S555" s="90" t="s">
        <v>16</v>
      </c>
      <c r="T555" s="838" t="s">
        <v>5757</v>
      </c>
      <c r="U555" s="92" t="s">
        <v>7969</v>
      </c>
      <c r="V555" s="92" t="s">
        <v>2008</v>
      </c>
      <c r="W555" s="92" t="s">
        <v>6372</v>
      </c>
      <c r="X555" s="93">
        <v>44251</v>
      </c>
      <c r="Y555" s="92"/>
      <c r="Z555" s="93">
        <v>44379</v>
      </c>
      <c r="AA555" s="1108" t="s">
        <v>37</v>
      </c>
    </row>
    <row r="556" spans="1:27" s="871" customFormat="1" ht="52.5" thickBot="1" x14ac:dyDescent="0.3">
      <c r="A556" s="345" t="s">
        <v>2101</v>
      </c>
      <c r="B556" s="331" t="s">
        <v>2101</v>
      </c>
      <c r="C556" s="83">
        <v>674</v>
      </c>
      <c r="D556" s="588" t="s">
        <v>52</v>
      </c>
      <c r="E556" s="588" t="s">
        <v>53</v>
      </c>
      <c r="F556" s="83" t="s">
        <v>668</v>
      </c>
      <c r="G556" s="83" t="s">
        <v>1973</v>
      </c>
      <c r="H556" s="83"/>
      <c r="I556" s="395"/>
      <c r="J556" s="87">
        <v>830</v>
      </c>
      <c r="K556" s="360" t="s">
        <v>2102</v>
      </c>
      <c r="L556" s="198">
        <v>1539989.8918999999</v>
      </c>
      <c r="M556" s="198">
        <v>5228531.5482999999</v>
      </c>
      <c r="N556" s="199" t="s">
        <v>4771</v>
      </c>
      <c r="O556" s="199" t="s">
        <v>194</v>
      </c>
      <c r="P556" s="199">
        <v>1</v>
      </c>
      <c r="Q556" s="199" t="s">
        <v>4772</v>
      </c>
      <c r="R556" s="360" t="s">
        <v>4125</v>
      </c>
      <c r="S556" s="88" t="s">
        <v>16</v>
      </c>
      <c r="T556" s="446" t="s">
        <v>4773</v>
      </c>
      <c r="U556" s="208" t="s">
        <v>4774</v>
      </c>
      <c r="V556" s="208" t="s">
        <v>2106</v>
      </c>
      <c r="W556" s="208" t="s">
        <v>37</v>
      </c>
      <c r="X556" s="209">
        <v>44228</v>
      </c>
      <c r="Y556" s="208"/>
      <c r="Z556" s="364"/>
      <c r="AA556" s="1109"/>
    </row>
    <row r="557" spans="1:27" s="871" customFormat="1" ht="39.75" thickBot="1" x14ac:dyDescent="0.3">
      <c r="A557" s="1041" t="s">
        <v>8455</v>
      </c>
      <c r="B557" s="589" t="s">
        <v>8455</v>
      </c>
      <c r="C557" s="110">
        <v>530</v>
      </c>
      <c r="D557" s="638" t="s">
        <v>52</v>
      </c>
      <c r="E557" s="638"/>
      <c r="F557" s="149" t="s">
        <v>668</v>
      </c>
      <c r="G557" s="84" t="s">
        <v>1263</v>
      </c>
      <c r="H557" s="84"/>
      <c r="I557" s="124"/>
      <c r="J557" s="89">
        <v>980</v>
      </c>
      <c r="K557" s="396" t="s">
        <v>8456</v>
      </c>
      <c r="L557" s="265">
        <v>1516165.983</v>
      </c>
      <c r="M557" s="265">
        <v>5361255.6633000001</v>
      </c>
      <c r="N557" s="109" t="s">
        <v>1254</v>
      </c>
      <c r="O557" s="109" t="s">
        <v>194</v>
      </c>
      <c r="P557" s="109">
        <v>1</v>
      </c>
      <c r="Q557" s="109" t="s">
        <v>8457</v>
      </c>
      <c r="R557" s="396" t="s">
        <v>4125</v>
      </c>
      <c r="S557" s="90" t="s">
        <v>85</v>
      </c>
      <c r="T557" s="446" t="s">
        <v>2882</v>
      </c>
      <c r="U557" s="208" t="s">
        <v>10158</v>
      </c>
      <c r="V557" s="208" t="s">
        <v>8460</v>
      </c>
      <c r="W557" s="208" t="s">
        <v>37</v>
      </c>
      <c r="X557" s="209">
        <v>44491</v>
      </c>
      <c r="Y557" s="208"/>
      <c r="Z557" s="364"/>
      <c r="AA557" s="1109"/>
    </row>
    <row r="558" spans="1:27" s="869" customFormat="1" ht="39.75" thickBot="1" x14ac:dyDescent="0.3">
      <c r="A558" s="648" t="s">
        <v>1158</v>
      </c>
      <c r="B558" s="598" t="s">
        <v>1158</v>
      </c>
      <c r="C558" s="248">
        <v>210</v>
      </c>
      <c r="D558" s="595" t="s">
        <v>57</v>
      </c>
      <c r="E558" s="595"/>
      <c r="F558" s="249" t="s">
        <v>668</v>
      </c>
      <c r="G558" s="993" t="s">
        <v>1238</v>
      </c>
      <c r="H558" s="248"/>
      <c r="I558" s="595"/>
      <c r="J558" s="425">
        <v>4041</v>
      </c>
      <c r="K558" s="472" t="s">
        <v>6548</v>
      </c>
      <c r="L558" s="934">
        <v>1882420.0232820001</v>
      </c>
      <c r="M558" s="934">
        <v>5756132.8641010001</v>
      </c>
      <c r="N558" s="248" t="s">
        <v>7965</v>
      </c>
      <c r="O558" s="248" t="s">
        <v>193</v>
      </c>
      <c r="P558" s="248">
        <v>7</v>
      </c>
      <c r="Q558" s="248" t="s">
        <v>8972</v>
      </c>
      <c r="R558" s="472" t="s">
        <v>8973</v>
      </c>
      <c r="S558" s="427" t="s">
        <v>16</v>
      </c>
      <c r="T558" s="94" t="s">
        <v>7966</v>
      </c>
      <c r="U558" s="92" t="s">
        <v>7967</v>
      </c>
      <c r="V558" s="92" t="s">
        <v>6551</v>
      </c>
      <c r="W558" s="92" t="s">
        <v>6372</v>
      </c>
      <c r="X558" s="93">
        <v>44251</v>
      </c>
      <c r="Y558" s="92"/>
      <c r="Z558" s="93">
        <v>44379</v>
      </c>
      <c r="AA558" s="1108" t="s">
        <v>37</v>
      </c>
    </row>
    <row r="559" spans="1:27" s="869" customFormat="1" ht="39.75" thickBot="1" x14ac:dyDescent="0.3">
      <c r="A559" s="1039" t="s">
        <v>4989</v>
      </c>
      <c r="B559" s="628" t="s">
        <v>4989</v>
      </c>
      <c r="C559" s="379">
        <v>402</v>
      </c>
      <c r="D559" s="861" t="s">
        <v>52</v>
      </c>
      <c r="E559" s="861" t="s">
        <v>53</v>
      </c>
      <c r="F559" s="83" t="s">
        <v>155</v>
      </c>
      <c r="G559" s="83" t="s">
        <v>1973</v>
      </c>
      <c r="H559" s="588"/>
      <c r="I559" s="395"/>
      <c r="J559" s="87">
        <v>1218</v>
      </c>
      <c r="K559" s="360" t="s">
        <v>8005</v>
      </c>
      <c r="L559" s="198">
        <v>1803039.5970000001</v>
      </c>
      <c r="M559" s="198">
        <v>5432973.3217000002</v>
      </c>
      <c r="N559" s="199" t="s">
        <v>8006</v>
      </c>
      <c r="O559" s="199" t="s">
        <v>194</v>
      </c>
      <c r="P559" s="199">
        <v>2</v>
      </c>
      <c r="Q559" s="199" t="s">
        <v>9246</v>
      </c>
      <c r="R559" s="360" t="s">
        <v>9245</v>
      </c>
      <c r="S559" s="88" t="s">
        <v>16</v>
      </c>
      <c r="T559" s="833" t="s">
        <v>8007</v>
      </c>
      <c r="U559" s="92" t="s">
        <v>8008</v>
      </c>
      <c r="V559" s="342" t="s">
        <v>1571</v>
      </c>
      <c r="W559" s="92" t="s">
        <v>1380</v>
      </c>
      <c r="X559" s="93">
        <v>44418</v>
      </c>
      <c r="Y559" s="92" t="s">
        <v>37</v>
      </c>
      <c r="Z559" s="93">
        <v>44186</v>
      </c>
      <c r="AA559" s="1133" t="s">
        <v>37</v>
      </c>
    </row>
    <row r="560" spans="1:27" s="871" customFormat="1" ht="78" thickBot="1" x14ac:dyDescent="0.3">
      <c r="A560" s="334" t="s">
        <v>5905</v>
      </c>
      <c r="B560" s="333" t="s">
        <v>5905</v>
      </c>
      <c r="C560" s="84">
        <v>812</v>
      </c>
      <c r="D560" s="591" t="s">
        <v>52</v>
      </c>
      <c r="E560" s="591" t="s">
        <v>53</v>
      </c>
      <c r="F560" s="149" t="s">
        <v>1262</v>
      </c>
      <c r="G560" s="84" t="s">
        <v>1973</v>
      </c>
      <c r="H560" s="84"/>
      <c r="I560" s="124"/>
      <c r="J560" s="89">
        <v>874</v>
      </c>
      <c r="K560" s="396" t="s">
        <v>5913</v>
      </c>
      <c r="L560" s="265">
        <v>1276668.1439</v>
      </c>
      <c r="M560" s="265">
        <v>4971398.1381000001</v>
      </c>
      <c r="N560" s="109" t="s">
        <v>5477</v>
      </c>
      <c r="O560" s="109" t="s">
        <v>194</v>
      </c>
      <c r="P560" s="109">
        <v>4</v>
      </c>
      <c r="Q560" s="109" t="s">
        <v>5935</v>
      </c>
      <c r="R560" s="396" t="s">
        <v>5936</v>
      </c>
      <c r="S560" s="90" t="s">
        <v>85</v>
      </c>
      <c r="T560" s="446" t="s">
        <v>5937</v>
      </c>
      <c r="U560" s="208" t="s">
        <v>5938</v>
      </c>
      <c r="V560" s="208" t="s">
        <v>5926</v>
      </c>
      <c r="W560" s="208" t="s">
        <v>37</v>
      </c>
      <c r="X560" s="209">
        <v>44278</v>
      </c>
      <c r="Y560" s="208"/>
      <c r="Z560" s="364"/>
      <c r="AA560" s="1109"/>
    </row>
    <row r="561" spans="1:27" s="869" customFormat="1" ht="65.25" thickBot="1" x14ac:dyDescent="0.3">
      <c r="A561" s="487" t="s">
        <v>1628</v>
      </c>
      <c r="B561" s="128" t="s">
        <v>1628</v>
      </c>
      <c r="C561" s="72">
        <v>317</v>
      </c>
      <c r="D561" s="586" t="s">
        <v>53</v>
      </c>
      <c r="E561" s="586"/>
      <c r="F561" s="129" t="s">
        <v>1604</v>
      </c>
      <c r="G561" s="231" t="s">
        <v>1974</v>
      </c>
      <c r="H561" s="586"/>
      <c r="I561" s="873"/>
      <c r="J561" s="83">
        <v>1053</v>
      </c>
      <c r="K561" s="360" t="s">
        <v>8009</v>
      </c>
      <c r="L561" s="947">
        <v>1794044.5008</v>
      </c>
      <c r="M561" s="198">
        <v>5493828.0827000001</v>
      </c>
      <c r="N561" s="83" t="s">
        <v>3976</v>
      </c>
      <c r="O561" s="83" t="s">
        <v>5</v>
      </c>
      <c r="P561" s="83">
        <v>1</v>
      </c>
      <c r="Q561" s="83" t="s">
        <v>5034</v>
      </c>
      <c r="R561" s="360" t="s">
        <v>8984</v>
      </c>
      <c r="S561" s="88" t="s">
        <v>16</v>
      </c>
      <c r="T561" s="368" t="s">
        <v>8010</v>
      </c>
      <c r="U561" s="92" t="s">
        <v>8011</v>
      </c>
      <c r="V561" s="837" t="s">
        <v>6979</v>
      </c>
      <c r="W561" s="92" t="s">
        <v>1380</v>
      </c>
      <c r="X561" s="93">
        <v>44181</v>
      </c>
      <c r="Y561" s="92"/>
      <c r="Z561" s="93">
        <v>44186</v>
      </c>
      <c r="AA561" s="1108" t="s">
        <v>37</v>
      </c>
    </row>
    <row r="562" spans="1:27" s="869" customFormat="1" ht="90.75" thickBot="1" x14ac:dyDescent="0.3">
      <c r="A562" s="489"/>
      <c r="B562" s="133"/>
      <c r="C562" s="78"/>
      <c r="D562" s="569"/>
      <c r="E562" s="569"/>
      <c r="F562" s="78"/>
      <c r="G562" s="78"/>
      <c r="H562" s="569"/>
      <c r="I562" s="876"/>
      <c r="J562" s="87">
        <v>1054</v>
      </c>
      <c r="K562" s="360" t="s">
        <v>8012</v>
      </c>
      <c r="L562" s="947">
        <v>1796691.9234</v>
      </c>
      <c r="M562" s="198">
        <v>5495447.7015000004</v>
      </c>
      <c r="N562" s="199" t="s">
        <v>8013</v>
      </c>
      <c r="O562" s="199" t="s">
        <v>61</v>
      </c>
      <c r="P562" s="83">
        <v>2</v>
      </c>
      <c r="Q562" s="83" t="s">
        <v>8970</v>
      </c>
      <c r="R562" s="360" t="s">
        <v>8971</v>
      </c>
      <c r="S562" s="88" t="s">
        <v>16</v>
      </c>
      <c r="T562" s="368" t="s">
        <v>58</v>
      </c>
      <c r="U562" s="92" t="s">
        <v>8014</v>
      </c>
      <c r="V562" s="837" t="s">
        <v>6979</v>
      </c>
      <c r="W562" s="92" t="s">
        <v>1380</v>
      </c>
      <c r="X562" s="93">
        <v>44181</v>
      </c>
      <c r="Y562" s="92"/>
      <c r="Z562" s="93">
        <v>44186</v>
      </c>
      <c r="AA562" s="1108" t="s">
        <v>37</v>
      </c>
    </row>
    <row r="563" spans="1:27" ht="26.25" x14ac:dyDescent="0.25">
      <c r="A563" s="341" t="s">
        <v>3614</v>
      </c>
      <c r="B563" s="181" t="s">
        <v>9483</v>
      </c>
      <c r="C563" s="125">
        <v>625</v>
      </c>
      <c r="D563" s="585" t="s">
        <v>52</v>
      </c>
      <c r="E563" s="585"/>
      <c r="F563" s="125" t="s">
        <v>9484</v>
      </c>
      <c r="G563" s="125" t="s">
        <v>1263</v>
      </c>
      <c r="H563" s="585"/>
      <c r="I563" s="879"/>
      <c r="J563" s="189">
        <v>5664</v>
      </c>
      <c r="K563" s="355" t="s">
        <v>9485</v>
      </c>
      <c r="L563" s="125">
        <v>1623680</v>
      </c>
      <c r="M563" s="125">
        <v>5289860</v>
      </c>
      <c r="N563" s="1007" t="s">
        <v>9486</v>
      </c>
      <c r="O563" s="255" t="s">
        <v>2090</v>
      </c>
      <c r="P563" s="126" t="s">
        <v>419</v>
      </c>
      <c r="Q563" s="126" t="s">
        <v>9911</v>
      </c>
      <c r="R563" s="126" t="s">
        <v>4329</v>
      </c>
      <c r="S563" s="1008" t="s">
        <v>16</v>
      </c>
      <c r="T563" s="1006" t="s">
        <v>4131</v>
      </c>
      <c r="U563" s="40" t="s">
        <v>9441</v>
      </c>
      <c r="V563" s="40" t="s">
        <v>9442</v>
      </c>
      <c r="W563" s="40" t="s">
        <v>37</v>
      </c>
      <c r="X563" s="41">
        <v>44420</v>
      </c>
      <c r="Y563" s="1150"/>
      <c r="Z563" s="1157"/>
      <c r="AA563" s="1154"/>
    </row>
    <row r="564" spans="1:27" ht="39" x14ac:dyDescent="0.25">
      <c r="A564" s="339"/>
      <c r="B564" s="338"/>
      <c r="C564" s="277"/>
      <c r="D564" s="565"/>
      <c r="E564" s="565"/>
      <c r="F564" s="277"/>
      <c r="G564" s="277"/>
      <c r="H564" s="565"/>
      <c r="I564" s="880"/>
      <c r="J564" s="191">
        <v>5675</v>
      </c>
      <c r="K564" s="359" t="s">
        <v>9487</v>
      </c>
      <c r="L564" s="95">
        <v>1623090</v>
      </c>
      <c r="M564" s="95">
        <v>5290200</v>
      </c>
      <c r="N564" s="1010" t="s">
        <v>9488</v>
      </c>
      <c r="O564" s="259" t="s">
        <v>2090</v>
      </c>
      <c r="P564" s="108" t="s">
        <v>419</v>
      </c>
      <c r="Q564" s="108" t="s">
        <v>9912</v>
      </c>
      <c r="R564" s="108" t="s">
        <v>4329</v>
      </c>
      <c r="S564" s="1009" t="s">
        <v>16</v>
      </c>
      <c r="T564" s="992" t="s">
        <v>4131</v>
      </c>
      <c r="U564" s="46" t="s">
        <v>9489</v>
      </c>
      <c r="V564" s="46" t="s">
        <v>9442</v>
      </c>
      <c r="W564" s="46" t="s">
        <v>37</v>
      </c>
      <c r="X564" s="47">
        <v>44420</v>
      </c>
      <c r="Y564" s="1151"/>
      <c r="Z564" s="894"/>
      <c r="AA564" s="1155"/>
    </row>
    <row r="565" spans="1:27" ht="26.25" x14ac:dyDescent="0.25">
      <c r="A565" s="339"/>
      <c r="B565" s="338"/>
      <c r="C565" s="277"/>
      <c r="D565" s="565"/>
      <c r="E565" s="565"/>
      <c r="F565" s="277"/>
      <c r="G565" s="277"/>
      <c r="H565" s="565"/>
      <c r="I565" s="880"/>
      <c r="J565" s="191">
        <v>5684</v>
      </c>
      <c r="K565" s="359" t="s">
        <v>9490</v>
      </c>
      <c r="L565" s="95">
        <v>1623540</v>
      </c>
      <c r="M565" s="95">
        <v>5289130</v>
      </c>
      <c r="N565" s="108" t="s">
        <v>9491</v>
      </c>
      <c r="O565" s="259" t="s">
        <v>2090</v>
      </c>
      <c r="P565" s="108" t="s">
        <v>419</v>
      </c>
      <c r="Q565" s="108" t="s">
        <v>2686</v>
      </c>
      <c r="R565" s="108" t="s">
        <v>4329</v>
      </c>
      <c r="S565" s="1009" t="s">
        <v>16</v>
      </c>
      <c r="T565" s="992" t="s">
        <v>9492</v>
      </c>
      <c r="U565" s="46" t="s">
        <v>9441</v>
      </c>
      <c r="V565" s="46" t="s">
        <v>9442</v>
      </c>
      <c r="W565" s="46" t="s">
        <v>37</v>
      </c>
      <c r="X565" s="47">
        <v>44420</v>
      </c>
      <c r="Y565" s="1151"/>
      <c r="Z565" s="894"/>
      <c r="AA565" s="1155"/>
    </row>
    <row r="566" spans="1:27" ht="26.25" x14ac:dyDescent="0.25">
      <c r="A566" s="339"/>
      <c r="B566" s="338"/>
      <c r="C566" s="277"/>
      <c r="D566" s="565"/>
      <c r="E566" s="565"/>
      <c r="F566" s="277"/>
      <c r="G566" s="277"/>
      <c r="H566" s="565"/>
      <c r="I566" s="880"/>
      <c r="J566" s="191">
        <v>5685</v>
      </c>
      <c r="K566" s="359" t="s">
        <v>9493</v>
      </c>
      <c r="L566" s="95">
        <v>1623600</v>
      </c>
      <c r="M566" s="95">
        <v>5289150</v>
      </c>
      <c r="N566" s="1010" t="s">
        <v>9494</v>
      </c>
      <c r="O566" s="259" t="s">
        <v>2090</v>
      </c>
      <c r="P566" s="108" t="s">
        <v>419</v>
      </c>
      <c r="Q566" s="108" t="s">
        <v>9913</v>
      </c>
      <c r="R566" s="108" t="s">
        <v>4329</v>
      </c>
      <c r="S566" s="1009" t="s">
        <v>16</v>
      </c>
      <c r="T566" s="992" t="s">
        <v>4131</v>
      </c>
      <c r="U566" s="46" t="s">
        <v>9441</v>
      </c>
      <c r="V566" s="46" t="s">
        <v>9442</v>
      </c>
      <c r="W566" s="46" t="s">
        <v>37</v>
      </c>
      <c r="X566" s="47">
        <v>44420</v>
      </c>
      <c r="Y566" s="1151"/>
      <c r="Z566" s="894"/>
      <c r="AA566" s="1155"/>
    </row>
    <row r="567" spans="1:27" ht="27" thickBot="1" x14ac:dyDescent="0.3">
      <c r="A567" s="336"/>
      <c r="B567" s="196"/>
      <c r="C567" s="96"/>
      <c r="D567" s="566"/>
      <c r="E567" s="566"/>
      <c r="F567" s="96"/>
      <c r="G567" s="96"/>
      <c r="H567" s="566"/>
      <c r="I567" s="881"/>
      <c r="J567" s="190">
        <v>5686</v>
      </c>
      <c r="K567" s="357" t="s">
        <v>9495</v>
      </c>
      <c r="L567" s="96">
        <v>1623580</v>
      </c>
      <c r="M567" s="96">
        <v>5289240</v>
      </c>
      <c r="N567" s="1013" t="s">
        <v>9496</v>
      </c>
      <c r="O567" s="262" t="s">
        <v>2090</v>
      </c>
      <c r="P567" s="107" t="s">
        <v>419</v>
      </c>
      <c r="Q567" s="107" t="s">
        <v>9917</v>
      </c>
      <c r="R567" s="107" t="s">
        <v>4329</v>
      </c>
      <c r="S567" s="1012" t="s">
        <v>16</v>
      </c>
      <c r="T567" s="850" t="s">
        <v>4537</v>
      </c>
      <c r="U567" s="52" t="s">
        <v>9441</v>
      </c>
      <c r="V567" s="52" t="s">
        <v>9442</v>
      </c>
      <c r="W567" s="52" t="s">
        <v>37</v>
      </c>
      <c r="X567" s="53">
        <v>44420</v>
      </c>
      <c r="Y567" s="1152"/>
      <c r="Z567" s="1158"/>
      <c r="AA567" s="1156"/>
    </row>
    <row r="568" spans="1:27" ht="26.25" x14ac:dyDescent="0.25">
      <c r="A568" s="341" t="s">
        <v>3614</v>
      </c>
      <c r="B568" s="181" t="s">
        <v>6820</v>
      </c>
      <c r="C568" s="125">
        <v>624</v>
      </c>
      <c r="D568" s="585" t="s">
        <v>52</v>
      </c>
      <c r="E568" s="585"/>
      <c r="F568" s="125" t="s">
        <v>1131</v>
      </c>
      <c r="G568" s="125" t="s">
        <v>1263</v>
      </c>
      <c r="H568" s="585"/>
      <c r="I568" s="879"/>
      <c r="J568" s="189">
        <v>5677</v>
      </c>
      <c r="K568" s="355" t="s">
        <v>9497</v>
      </c>
      <c r="L568" s="125">
        <v>1621220</v>
      </c>
      <c r="M568" s="125">
        <v>5298340</v>
      </c>
      <c r="N568" s="558" t="s">
        <v>9498</v>
      </c>
      <c r="O568" s="255" t="s">
        <v>2090</v>
      </c>
      <c r="P568" s="126" t="s">
        <v>419</v>
      </c>
      <c r="Q568" s="126" t="s">
        <v>1248</v>
      </c>
      <c r="R568" s="126" t="s">
        <v>4329</v>
      </c>
      <c r="S568" s="1008" t="s">
        <v>16</v>
      </c>
      <c r="T568" s="1006" t="s">
        <v>4131</v>
      </c>
      <c r="U568" s="40" t="s">
        <v>9441</v>
      </c>
      <c r="V568" s="40" t="s">
        <v>9442</v>
      </c>
      <c r="W568" s="40" t="s">
        <v>37</v>
      </c>
      <c r="X568" s="41">
        <v>44420</v>
      </c>
      <c r="Y568" s="1150"/>
      <c r="Z568" s="1157"/>
      <c r="AA568" s="1154"/>
    </row>
    <row r="569" spans="1:27" ht="26.25" x14ac:dyDescent="0.25">
      <c r="A569" s="339"/>
      <c r="B569" s="338"/>
      <c r="C569" s="277"/>
      <c r="D569" s="565"/>
      <c r="E569" s="565"/>
      <c r="F569" s="277"/>
      <c r="G569" s="277"/>
      <c r="H569" s="565"/>
      <c r="I569" s="880"/>
      <c r="J569" s="191">
        <v>5678</v>
      </c>
      <c r="K569" s="359" t="s">
        <v>9499</v>
      </c>
      <c r="L569" s="95">
        <v>1621220</v>
      </c>
      <c r="M569" s="95">
        <v>5298360</v>
      </c>
      <c r="N569" s="108" t="s">
        <v>9500</v>
      </c>
      <c r="O569" s="259" t="s">
        <v>2090</v>
      </c>
      <c r="P569" s="108" t="s">
        <v>419</v>
      </c>
      <c r="Q569" s="108" t="s">
        <v>8519</v>
      </c>
      <c r="R569" s="108" t="s">
        <v>4329</v>
      </c>
      <c r="S569" s="1009" t="s">
        <v>16</v>
      </c>
      <c r="T569" s="992" t="s">
        <v>4131</v>
      </c>
      <c r="U569" s="46" t="s">
        <v>9441</v>
      </c>
      <c r="V569" s="46" t="s">
        <v>9442</v>
      </c>
      <c r="W569" s="46" t="s">
        <v>37</v>
      </c>
      <c r="X569" s="47">
        <v>44420</v>
      </c>
      <c r="Y569" s="1151"/>
      <c r="Z569" s="894"/>
      <c r="AA569" s="1155"/>
    </row>
    <row r="570" spans="1:27" ht="27" thickBot="1" x14ac:dyDescent="0.3">
      <c r="A570" s="336"/>
      <c r="B570" s="196"/>
      <c r="C570" s="96"/>
      <c r="D570" s="566"/>
      <c r="E570" s="566"/>
      <c r="F570" s="96"/>
      <c r="G570" s="96"/>
      <c r="H570" s="566"/>
      <c r="I570" s="881"/>
      <c r="J570" s="190">
        <v>5679</v>
      </c>
      <c r="K570" s="357" t="s">
        <v>9501</v>
      </c>
      <c r="L570" s="96">
        <v>1621660</v>
      </c>
      <c r="M570" s="96">
        <v>5298760</v>
      </c>
      <c r="N570" s="1013" t="s">
        <v>9502</v>
      </c>
      <c r="O570" s="262" t="s">
        <v>2090</v>
      </c>
      <c r="P570" s="107" t="s">
        <v>419</v>
      </c>
      <c r="Q570" s="107" t="s">
        <v>9914</v>
      </c>
      <c r="R570" s="107" t="s">
        <v>4329</v>
      </c>
      <c r="S570" s="1012" t="s">
        <v>16</v>
      </c>
      <c r="T570" s="850" t="s">
        <v>4131</v>
      </c>
      <c r="U570" s="52" t="s">
        <v>9441</v>
      </c>
      <c r="V570" s="52" t="s">
        <v>9442</v>
      </c>
      <c r="W570" s="52" t="s">
        <v>37</v>
      </c>
      <c r="X570" s="53">
        <v>44420</v>
      </c>
      <c r="Y570" s="1152"/>
      <c r="Z570" s="1158"/>
      <c r="AA570" s="1156"/>
    </row>
    <row r="571" spans="1:27" ht="39" x14ac:dyDescent="0.25">
      <c r="A571" s="341" t="s">
        <v>3614</v>
      </c>
      <c r="B571" s="181" t="s">
        <v>9503</v>
      </c>
      <c r="C571" s="125">
        <v>626</v>
      </c>
      <c r="D571" s="585" t="s">
        <v>52</v>
      </c>
      <c r="E571" s="585"/>
      <c r="F571" s="125" t="s">
        <v>1131</v>
      </c>
      <c r="G571" s="125" t="s">
        <v>1263</v>
      </c>
      <c r="H571" s="585"/>
      <c r="I571" s="879"/>
      <c r="J571" s="189">
        <v>5658</v>
      </c>
      <c r="K571" s="355" t="s">
        <v>9504</v>
      </c>
      <c r="L571" s="125">
        <v>1620460</v>
      </c>
      <c r="M571" s="125">
        <v>5285650</v>
      </c>
      <c r="N571" s="558" t="s">
        <v>9505</v>
      </c>
      <c r="O571" s="255" t="s">
        <v>61</v>
      </c>
      <c r="P571" s="126" t="s">
        <v>419</v>
      </c>
      <c r="Q571" s="126" t="s">
        <v>9915</v>
      </c>
      <c r="R571" s="126" t="s">
        <v>4329</v>
      </c>
      <c r="S571" s="1008" t="s">
        <v>16</v>
      </c>
      <c r="T571" s="1006" t="s">
        <v>4131</v>
      </c>
      <c r="U571" s="40" t="s">
        <v>9506</v>
      </c>
      <c r="V571" s="40" t="s">
        <v>9442</v>
      </c>
      <c r="W571" s="40" t="s">
        <v>37</v>
      </c>
      <c r="X571" s="41">
        <v>44420</v>
      </c>
      <c r="Y571" s="1150"/>
      <c r="Z571" s="1157"/>
      <c r="AA571" s="1154"/>
    </row>
    <row r="572" spans="1:27" ht="26.25" x14ac:dyDescent="0.25">
      <c r="A572" s="339"/>
      <c r="B572" s="338"/>
      <c r="C572" s="277"/>
      <c r="D572" s="565"/>
      <c r="E572" s="565"/>
      <c r="F572" s="277"/>
      <c r="G572" s="277"/>
      <c r="H572" s="565"/>
      <c r="I572" s="880"/>
      <c r="J572" s="191">
        <v>5673</v>
      </c>
      <c r="K572" s="359" t="s">
        <v>9507</v>
      </c>
      <c r="L572" s="95">
        <v>1622370</v>
      </c>
      <c r="M572" s="95">
        <v>5285900</v>
      </c>
      <c r="N572" s="1010" t="s">
        <v>9508</v>
      </c>
      <c r="O572" s="259" t="s">
        <v>2090</v>
      </c>
      <c r="P572" s="108" t="s">
        <v>419</v>
      </c>
      <c r="Q572" s="108" t="s">
        <v>9916</v>
      </c>
      <c r="R572" s="108" t="s">
        <v>4329</v>
      </c>
      <c r="S572" s="1009" t="s">
        <v>16</v>
      </c>
      <c r="T572" s="992" t="s">
        <v>4131</v>
      </c>
      <c r="U572" s="46" t="s">
        <v>9441</v>
      </c>
      <c r="V572" s="46" t="s">
        <v>9442</v>
      </c>
      <c r="W572" s="46" t="s">
        <v>37</v>
      </c>
      <c r="X572" s="47">
        <v>44420</v>
      </c>
      <c r="Y572" s="1151"/>
      <c r="Z572" s="894"/>
      <c r="AA572" s="1155"/>
    </row>
    <row r="573" spans="1:27" ht="39.75" thickBot="1" x14ac:dyDescent="0.3">
      <c r="A573" s="336"/>
      <c r="B573" s="196"/>
      <c r="C573" s="96"/>
      <c r="D573" s="566"/>
      <c r="E573" s="566"/>
      <c r="F573" s="96"/>
      <c r="G573" s="96"/>
      <c r="H573" s="566"/>
      <c r="I573" s="881"/>
      <c r="J573" s="190">
        <v>5674</v>
      </c>
      <c r="K573" s="357" t="s">
        <v>9509</v>
      </c>
      <c r="L573" s="96">
        <v>1621580</v>
      </c>
      <c r="M573" s="96">
        <v>5285590</v>
      </c>
      <c r="N573" s="1013" t="s">
        <v>9510</v>
      </c>
      <c r="O573" s="262" t="s">
        <v>2090</v>
      </c>
      <c r="P573" s="107" t="s">
        <v>419</v>
      </c>
      <c r="Q573" s="107" t="s">
        <v>9825</v>
      </c>
      <c r="R573" s="107" t="s">
        <v>4329</v>
      </c>
      <c r="S573" s="1012" t="s">
        <v>16</v>
      </c>
      <c r="T573" s="850" t="s">
        <v>4131</v>
      </c>
      <c r="U573" s="52" t="s">
        <v>9489</v>
      </c>
      <c r="V573" s="52" t="s">
        <v>9442</v>
      </c>
      <c r="W573" s="52" t="s">
        <v>37</v>
      </c>
      <c r="X573" s="53">
        <v>44420</v>
      </c>
      <c r="Y573" s="1152"/>
      <c r="Z573" s="1158"/>
      <c r="AA573" s="1156"/>
    </row>
    <row r="574" spans="1:27" s="871" customFormat="1" ht="39.75" thickBot="1" x14ac:dyDescent="0.3">
      <c r="A574" s="345" t="s">
        <v>5908</v>
      </c>
      <c r="B574" s="331" t="s">
        <v>5895</v>
      </c>
      <c r="C574" s="83">
        <v>810</v>
      </c>
      <c r="D574" s="588" t="s">
        <v>52</v>
      </c>
      <c r="E574" s="588" t="s">
        <v>53</v>
      </c>
      <c r="F574" s="268" t="s">
        <v>5930</v>
      </c>
      <c r="G574" s="83" t="s">
        <v>1973</v>
      </c>
      <c r="H574" s="83"/>
      <c r="I574" s="395"/>
      <c r="J574" s="87">
        <v>873</v>
      </c>
      <c r="K574" s="360" t="s">
        <v>5909</v>
      </c>
      <c r="L574" s="198">
        <v>1277533.422</v>
      </c>
      <c r="M574" s="198">
        <v>5007715.1847000001</v>
      </c>
      <c r="N574" s="199" t="s">
        <v>5931</v>
      </c>
      <c r="O574" s="199" t="s">
        <v>194</v>
      </c>
      <c r="P574" s="199">
        <v>3</v>
      </c>
      <c r="Q574" s="199" t="s">
        <v>5932</v>
      </c>
      <c r="R574" s="360" t="s">
        <v>5933</v>
      </c>
      <c r="S574" s="88" t="s">
        <v>85</v>
      </c>
      <c r="T574" s="446" t="s">
        <v>1376</v>
      </c>
      <c r="U574" s="208" t="s">
        <v>5934</v>
      </c>
      <c r="V574" s="208" t="s">
        <v>5926</v>
      </c>
      <c r="W574" s="208" t="s">
        <v>37</v>
      </c>
      <c r="X574" s="209">
        <v>44278</v>
      </c>
      <c r="Y574" s="208"/>
      <c r="Z574" s="364"/>
      <c r="AA574" s="1109"/>
    </row>
    <row r="575" spans="1:27" s="871" customFormat="1" ht="27" thickBot="1" x14ac:dyDescent="0.3">
      <c r="A575" s="334" t="s">
        <v>1851</v>
      </c>
      <c r="B575" s="333" t="s">
        <v>1851</v>
      </c>
      <c r="C575" s="84">
        <v>30</v>
      </c>
      <c r="D575" s="591" t="s">
        <v>57</v>
      </c>
      <c r="E575" s="591"/>
      <c r="F575" s="84" t="s">
        <v>155</v>
      </c>
      <c r="G575" s="149" t="s">
        <v>1238</v>
      </c>
      <c r="H575" s="84"/>
      <c r="I575" s="124"/>
      <c r="J575" s="89">
        <v>801</v>
      </c>
      <c r="K575" s="396" t="s">
        <v>1856</v>
      </c>
      <c r="L575" s="265">
        <v>1667636.0414</v>
      </c>
      <c r="M575" s="265">
        <v>5638928.4309999999</v>
      </c>
      <c r="N575" s="109" t="s">
        <v>4593</v>
      </c>
      <c r="O575" s="109" t="s">
        <v>194</v>
      </c>
      <c r="P575" s="109">
        <v>4</v>
      </c>
      <c r="Q575" s="109" t="s">
        <v>2666</v>
      </c>
      <c r="R575" s="396" t="s">
        <v>4125</v>
      </c>
      <c r="S575" s="90" t="s">
        <v>16</v>
      </c>
      <c r="T575" s="446" t="s">
        <v>4591</v>
      </c>
      <c r="U575" s="208" t="s">
        <v>4592</v>
      </c>
      <c r="V575" s="208" t="s">
        <v>1868</v>
      </c>
      <c r="W575" s="208" t="s">
        <v>37</v>
      </c>
      <c r="X575" s="209">
        <v>44215</v>
      </c>
      <c r="Y575" s="208"/>
      <c r="Z575" s="364"/>
      <c r="AA575" s="1109"/>
    </row>
    <row r="576" spans="1:27" s="869" customFormat="1" ht="39.75" thickBot="1" x14ac:dyDescent="0.3">
      <c r="A576" s="648" t="s">
        <v>7920</v>
      </c>
      <c r="B576" s="598" t="s">
        <v>4984</v>
      </c>
      <c r="C576" s="248">
        <v>356</v>
      </c>
      <c r="D576" s="595" t="s">
        <v>52</v>
      </c>
      <c r="E576" s="595"/>
      <c r="F576" s="249" t="s">
        <v>906</v>
      </c>
      <c r="G576" s="248" t="s">
        <v>1263</v>
      </c>
      <c r="H576" s="248"/>
      <c r="I576" s="885"/>
      <c r="J576" s="425">
        <v>4046</v>
      </c>
      <c r="K576" s="472" t="s">
        <v>6571</v>
      </c>
      <c r="L576" s="934">
        <v>2060633.157529</v>
      </c>
      <c r="M576" s="934">
        <v>5728172.5118899997</v>
      </c>
      <c r="N576" s="248" t="s">
        <v>592</v>
      </c>
      <c r="O576" s="248" t="s">
        <v>194</v>
      </c>
      <c r="P576" s="248">
        <v>3</v>
      </c>
      <c r="Q576" s="248" t="s">
        <v>8967</v>
      </c>
      <c r="R576" s="472" t="s">
        <v>8968</v>
      </c>
      <c r="S576" s="427" t="s">
        <v>16</v>
      </c>
      <c r="T576" s="838" t="s">
        <v>7970</v>
      </c>
      <c r="U576" s="92" t="s">
        <v>7971</v>
      </c>
      <c r="V576" s="92" t="s">
        <v>911</v>
      </c>
      <c r="W576" s="92" t="s">
        <v>6372</v>
      </c>
      <c r="X576" s="93">
        <v>44252</v>
      </c>
      <c r="Y576" s="92"/>
      <c r="Z576" s="93">
        <v>44379</v>
      </c>
      <c r="AA576" s="1108" t="s">
        <v>37</v>
      </c>
    </row>
    <row r="577" spans="1:27" s="869" customFormat="1" ht="39.75" thickBot="1" x14ac:dyDescent="0.3">
      <c r="A577" s="345" t="s">
        <v>7920</v>
      </c>
      <c r="B577" s="331" t="s">
        <v>7918</v>
      </c>
      <c r="C577" s="83">
        <v>359</v>
      </c>
      <c r="D577" s="588" t="s">
        <v>52</v>
      </c>
      <c r="E577" s="588" t="s">
        <v>408</v>
      </c>
      <c r="F577" s="268" t="s">
        <v>906</v>
      </c>
      <c r="G577" s="83" t="s">
        <v>2241</v>
      </c>
      <c r="H577" s="83"/>
      <c r="I577" s="886"/>
      <c r="J577" s="192">
        <v>4047</v>
      </c>
      <c r="K577" s="79" t="s">
        <v>6575</v>
      </c>
      <c r="L577" s="916">
        <v>2057724.7516910001</v>
      </c>
      <c r="M577" s="916">
        <v>5719898.3732899996</v>
      </c>
      <c r="N577" s="78" t="s">
        <v>7972</v>
      </c>
      <c r="O577" s="78" t="s">
        <v>194</v>
      </c>
      <c r="P577" s="78">
        <v>3</v>
      </c>
      <c r="Q577" s="78" t="s">
        <v>8969</v>
      </c>
      <c r="R577" s="79" t="s">
        <v>8968</v>
      </c>
      <c r="S577" s="80" t="s">
        <v>16</v>
      </c>
      <c r="T577" s="850" t="s">
        <v>7970</v>
      </c>
      <c r="U577" s="52" t="s">
        <v>7971</v>
      </c>
      <c r="V577" s="52" t="s">
        <v>911</v>
      </c>
      <c r="W577" s="52" t="s">
        <v>6372</v>
      </c>
      <c r="X577" s="53">
        <v>44252</v>
      </c>
      <c r="Y577" s="52"/>
      <c r="Z577" s="93">
        <v>44379</v>
      </c>
      <c r="AA577" s="1108" t="s">
        <v>37</v>
      </c>
    </row>
    <row r="578" spans="1:27" s="869" customFormat="1" ht="116.25" thickBot="1" x14ac:dyDescent="0.3">
      <c r="A578" s="341" t="s">
        <v>1641</v>
      </c>
      <c r="B578" s="181" t="s">
        <v>1641</v>
      </c>
      <c r="C578" s="125">
        <v>323</v>
      </c>
      <c r="D578" s="585" t="s">
        <v>53</v>
      </c>
      <c r="E578" s="585"/>
      <c r="F578" s="126" t="s">
        <v>1604</v>
      </c>
      <c r="G578" s="513" t="s">
        <v>1974</v>
      </c>
      <c r="H578" s="585"/>
      <c r="I578" s="879"/>
      <c r="J578" s="89">
        <v>1063</v>
      </c>
      <c r="K578" s="396" t="s">
        <v>8015</v>
      </c>
      <c r="L578" s="945">
        <v>1759698.2799</v>
      </c>
      <c r="M578" s="265">
        <v>5450644.4485999998</v>
      </c>
      <c r="N578" s="109" t="s">
        <v>8016</v>
      </c>
      <c r="O578" s="109" t="s">
        <v>61</v>
      </c>
      <c r="P578" s="109" t="s">
        <v>419</v>
      </c>
      <c r="Q578" s="84" t="s">
        <v>8017</v>
      </c>
      <c r="R578" s="396" t="s">
        <v>8033</v>
      </c>
      <c r="S578" s="90" t="s">
        <v>85</v>
      </c>
      <c r="T578" s="833" t="s">
        <v>24</v>
      </c>
      <c r="U578" s="92" t="s">
        <v>8018</v>
      </c>
      <c r="V578" s="92" t="s">
        <v>8019</v>
      </c>
      <c r="W578" s="834" t="s">
        <v>1380</v>
      </c>
      <c r="X578" s="93">
        <v>44384</v>
      </c>
      <c r="Y578" s="92"/>
      <c r="Z578" s="93">
        <v>44294</v>
      </c>
      <c r="AA578" s="1108" t="s">
        <v>37</v>
      </c>
    </row>
    <row r="579" spans="1:27" s="869" customFormat="1" ht="52.5" thickBot="1" x14ac:dyDescent="0.3">
      <c r="A579" s="339"/>
      <c r="B579" s="338"/>
      <c r="C579" s="277"/>
      <c r="D579" s="565"/>
      <c r="E579" s="565"/>
      <c r="F579" s="277"/>
      <c r="G579" s="277"/>
      <c r="H579" s="565"/>
      <c r="I579" s="880"/>
      <c r="J579" s="84">
        <v>1064</v>
      </c>
      <c r="K579" s="396" t="s">
        <v>8020</v>
      </c>
      <c r="L579" s="945">
        <v>1769321.7561999999</v>
      </c>
      <c r="M579" s="265">
        <v>5465315.2207000004</v>
      </c>
      <c r="N579" s="84">
        <v>3.8</v>
      </c>
      <c r="O579" s="84" t="s">
        <v>5</v>
      </c>
      <c r="P579" s="84">
        <v>1</v>
      </c>
      <c r="Q579" s="414" t="s">
        <v>8021</v>
      </c>
      <c r="R579" s="396" t="s">
        <v>8022</v>
      </c>
      <c r="S579" s="90" t="s">
        <v>85</v>
      </c>
      <c r="T579" s="838" t="s">
        <v>341</v>
      </c>
      <c r="U579" s="92" t="s">
        <v>8023</v>
      </c>
      <c r="V579" s="92" t="s">
        <v>1634</v>
      </c>
      <c r="W579" s="834" t="s">
        <v>1380</v>
      </c>
      <c r="X579" s="93">
        <v>44293</v>
      </c>
      <c r="Y579" s="92"/>
      <c r="Z579" s="93">
        <v>44294</v>
      </c>
      <c r="AA579" s="1108" t="s">
        <v>37</v>
      </c>
    </row>
    <row r="580" spans="1:27" s="869" customFormat="1" ht="52.5" thickBot="1" x14ac:dyDescent="0.3">
      <c r="A580" s="339"/>
      <c r="B580" s="338"/>
      <c r="C580" s="277"/>
      <c r="D580" s="565"/>
      <c r="E580" s="565"/>
      <c r="F580" s="277"/>
      <c r="G580" s="277"/>
      <c r="H580" s="565"/>
      <c r="I580" s="880"/>
      <c r="J580" s="84">
        <v>1359</v>
      </c>
      <c r="K580" s="396" t="s">
        <v>8024</v>
      </c>
      <c r="L580" s="945">
        <v>1746786.5647</v>
      </c>
      <c r="M580" s="265">
        <v>5434385.7944999998</v>
      </c>
      <c r="N580" s="109" t="s">
        <v>8025</v>
      </c>
      <c r="O580" s="109" t="s">
        <v>61</v>
      </c>
      <c r="P580" s="109" t="s">
        <v>419</v>
      </c>
      <c r="Q580" s="110" t="s">
        <v>8026</v>
      </c>
      <c r="R580" s="396" t="s">
        <v>8034</v>
      </c>
      <c r="S580" s="90" t="s">
        <v>85</v>
      </c>
      <c r="T580" s="838" t="s">
        <v>401</v>
      </c>
      <c r="U580" s="92" t="s">
        <v>8027</v>
      </c>
      <c r="V580" s="92" t="s">
        <v>8028</v>
      </c>
      <c r="W580" s="834" t="s">
        <v>1380</v>
      </c>
      <c r="X580" s="93">
        <v>44364</v>
      </c>
      <c r="Y580" s="92"/>
      <c r="Z580" s="93">
        <v>44364</v>
      </c>
      <c r="AA580" s="1108" t="s">
        <v>37</v>
      </c>
    </row>
    <row r="581" spans="1:27" s="869" customFormat="1" ht="52.5" thickBot="1" x14ac:dyDescent="0.3">
      <c r="A581" s="339"/>
      <c r="B581" s="338"/>
      <c r="C581" s="277"/>
      <c r="D581" s="565"/>
      <c r="E581" s="565"/>
      <c r="F581" s="277"/>
      <c r="G581" s="277"/>
      <c r="H581" s="565"/>
      <c r="I581" s="880"/>
      <c r="J581" s="84">
        <v>1360</v>
      </c>
      <c r="K581" s="396" t="s">
        <v>8029</v>
      </c>
      <c r="L581" s="945">
        <v>1747829.9101</v>
      </c>
      <c r="M581" s="265">
        <v>5435651.5422</v>
      </c>
      <c r="N581" s="109" t="s">
        <v>8030</v>
      </c>
      <c r="O581" s="109" t="s">
        <v>61</v>
      </c>
      <c r="P581" s="109" t="s">
        <v>419</v>
      </c>
      <c r="Q581" s="110" t="s">
        <v>8031</v>
      </c>
      <c r="R581" s="396" t="s">
        <v>8034</v>
      </c>
      <c r="S581" s="90" t="s">
        <v>85</v>
      </c>
      <c r="T581" s="838" t="s">
        <v>798</v>
      </c>
      <c r="U581" s="92" t="s">
        <v>8027</v>
      </c>
      <c r="V581" s="92" t="s">
        <v>8028</v>
      </c>
      <c r="W581" s="834" t="s">
        <v>1380</v>
      </c>
      <c r="X581" s="93">
        <v>44364</v>
      </c>
      <c r="Y581" s="92"/>
      <c r="Z581" s="93">
        <v>44384</v>
      </c>
      <c r="AA581" s="1108" t="s">
        <v>37</v>
      </c>
    </row>
    <row r="582" spans="1:27" s="869" customFormat="1" ht="52.5" thickBot="1" x14ac:dyDescent="0.3">
      <c r="A582" s="339"/>
      <c r="B582" s="338"/>
      <c r="C582" s="277"/>
      <c r="D582" s="565"/>
      <c r="E582" s="565"/>
      <c r="F582" s="277"/>
      <c r="G582" s="277"/>
      <c r="H582" s="565"/>
      <c r="I582" s="880"/>
      <c r="J582" s="84">
        <v>1361</v>
      </c>
      <c r="K582" s="396" t="s">
        <v>8032</v>
      </c>
      <c r="L582" s="945">
        <v>1743666.0075000001</v>
      </c>
      <c r="M582" s="265">
        <v>5430503.5321000004</v>
      </c>
      <c r="N582" s="109" t="s">
        <v>8030</v>
      </c>
      <c r="O582" s="109" t="s">
        <v>61</v>
      </c>
      <c r="P582" s="109" t="s">
        <v>419</v>
      </c>
      <c r="Q582" s="110" t="s">
        <v>8031</v>
      </c>
      <c r="R582" s="396" t="s">
        <v>8034</v>
      </c>
      <c r="S582" s="90" t="s">
        <v>85</v>
      </c>
      <c r="T582" s="838" t="s">
        <v>798</v>
      </c>
      <c r="U582" s="92" t="s">
        <v>8027</v>
      </c>
      <c r="V582" s="92" t="s">
        <v>8028</v>
      </c>
      <c r="W582" s="834" t="s">
        <v>1380</v>
      </c>
      <c r="X582" s="93">
        <v>44364</v>
      </c>
      <c r="Y582" s="92"/>
      <c r="Z582" s="93">
        <v>44384</v>
      </c>
      <c r="AA582" s="1108" t="s">
        <v>37</v>
      </c>
    </row>
    <row r="583" spans="1:27" s="869" customFormat="1" ht="39.75" thickBot="1" x14ac:dyDescent="0.3">
      <c r="A583" s="339"/>
      <c r="B583" s="116"/>
      <c r="C583" s="95"/>
      <c r="D583" s="567"/>
      <c r="E583" s="567"/>
      <c r="F583" s="95"/>
      <c r="G583" s="95"/>
      <c r="H583" s="567"/>
      <c r="I583" s="880"/>
      <c r="J583" s="190">
        <v>1366</v>
      </c>
      <c r="K583" s="357" t="s">
        <v>8035</v>
      </c>
      <c r="L583" s="968">
        <v>1751615.5898</v>
      </c>
      <c r="M583" s="912">
        <v>5441257.2001</v>
      </c>
      <c r="N583" s="96">
        <v>5</v>
      </c>
      <c r="O583" s="96" t="s">
        <v>5</v>
      </c>
      <c r="P583" s="96">
        <v>1</v>
      </c>
      <c r="Q583" s="99" t="s">
        <v>8036</v>
      </c>
      <c r="R583" s="357" t="s">
        <v>8037</v>
      </c>
      <c r="S583" s="100" t="s">
        <v>85</v>
      </c>
      <c r="T583" s="838" t="s">
        <v>798</v>
      </c>
      <c r="U583" s="92" t="s">
        <v>8038</v>
      </c>
      <c r="V583" s="92" t="s">
        <v>8039</v>
      </c>
      <c r="W583" s="834" t="s">
        <v>1380</v>
      </c>
      <c r="X583" s="93">
        <v>44364</v>
      </c>
      <c r="Y583" s="92"/>
      <c r="Z583" s="93">
        <v>44364</v>
      </c>
      <c r="AA583" s="1108" t="s">
        <v>37</v>
      </c>
    </row>
    <row r="584" spans="1:27" s="869" customFormat="1" ht="39.75" thickBot="1" x14ac:dyDescent="0.3">
      <c r="A584" s="487" t="s">
        <v>6784</v>
      </c>
      <c r="B584" s="128" t="s">
        <v>8423</v>
      </c>
      <c r="C584" s="72">
        <v>184</v>
      </c>
      <c r="D584" s="586" t="s">
        <v>57</v>
      </c>
      <c r="E584" s="586"/>
      <c r="F584" s="140" t="s">
        <v>2002</v>
      </c>
      <c r="G584" s="140" t="s">
        <v>1238</v>
      </c>
      <c r="H584" s="72"/>
      <c r="I584" s="873"/>
      <c r="J584" s="83">
        <v>5324</v>
      </c>
      <c r="K584" s="380">
        <v>74</v>
      </c>
      <c r="L584" s="198">
        <v>1935249.8433000001</v>
      </c>
      <c r="M584" s="198">
        <v>5791039.6557</v>
      </c>
      <c r="N584" s="839" t="s">
        <v>8424</v>
      </c>
      <c r="O584" s="379" t="s">
        <v>194</v>
      </c>
      <c r="P584" s="379">
        <v>1</v>
      </c>
      <c r="Q584" s="83" t="s">
        <v>8966</v>
      </c>
      <c r="R584" s="360" t="s">
        <v>8959</v>
      </c>
      <c r="S584" s="412" t="s">
        <v>16</v>
      </c>
      <c r="T584" s="868" t="s">
        <v>8392</v>
      </c>
      <c r="U584" s="92" t="s">
        <v>8441</v>
      </c>
      <c r="V584" s="92" t="s">
        <v>6540</v>
      </c>
      <c r="W584" s="92" t="s">
        <v>37</v>
      </c>
      <c r="X584" s="93">
        <v>44390</v>
      </c>
      <c r="Y584" s="92"/>
      <c r="Z584" s="368"/>
      <c r="AA584" s="1108"/>
    </row>
    <row r="585" spans="1:27" s="869" customFormat="1" ht="39.75" thickBot="1" x14ac:dyDescent="0.3">
      <c r="A585" s="489" t="s">
        <v>8423</v>
      </c>
      <c r="B585" s="133"/>
      <c r="C585" s="78"/>
      <c r="D585" s="569"/>
      <c r="E585" s="569"/>
      <c r="F585" s="144"/>
      <c r="G585" s="144"/>
      <c r="H585" s="78"/>
      <c r="I585" s="876"/>
      <c r="J585" s="83">
        <v>5323</v>
      </c>
      <c r="K585" s="380">
        <v>57.1</v>
      </c>
      <c r="L585" s="198">
        <v>1929787.2544</v>
      </c>
      <c r="M585" s="198">
        <v>5788889.2613000004</v>
      </c>
      <c r="N585" s="839" t="s">
        <v>5118</v>
      </c>
      <c r="O585" s="379" t="s">
        <v>194</v>
      </c>
      <c r="P585" s="379">
        <v>1</v>
      </c>
      <c r="Q585" s="83" t="s">
        <v>2671</v>
      </c>
      <c r="R585" s="360" t="s">
        <v>8959</v>
      </c>
      <c r="S585" s="412" t="s">
        <v>10</v>
      </c>
      <c r="T585" s="868" t="s">
        <v>8404</v>
      </c>
      <c r="U585" s="92" t="s">
        <v>8443</v>
      </c>
      <c r="V585" s="92" t="s">
        <v>6540</v>
      </c>
      <c r="W585" s="92" t="s">
        <v>37</v>
      </c>
      <c r="X585" s="93">
        <v>44390</v>
      </c>
      <c r="Y585" s="92"/>
      <c r="Z585" s="368"/>
      <c r="AA585" s="1108"/>
    </row>
    <row r="586" spans="1:27" s="869" customFormat="1" ht="39" x14ac:dyDescent="0.25">
      <c r="A586" s="339" t="s">
        <v>8416</v>
      </c>
      <c r="B586" s="116" t="s">
        <v>2831</v>
      </c>
      <c r="C586" s="95">
        <v>187</v>
      </c>
      <c r="D586" s="567" t="s">
        <v>57</v>
      </c>
      <c r="E586" s="567"/>
      <c r="F586" s="146" t="s">
        <v>2002</v>
      </c>
      <c r="G586" s="146" t="s">
        <v>1238</v>
      </c>
      <c r="H586" s="95"/>
      <c r="I586" s="880"/>
      <c r="J586" s="125">
        <v>5313</v>
      </c>
      <c r="K586" s="253">
        <v>76</v>
      </c>
      <c r="L586" s="911">
        <v>1928285.7853000001</v>
      </c>
      <c r="M586" s="911">
        <v>5781959.8433999997</v>
      </c>
      <c r="N586" s="548" t="s">
        <v>1236</v>
      </c>
      <c r="O586" s="254" t="s">
        <v>194</v>
      </c>
      <c r="P586" s="254">
        <v>1</v>
      </c>
      <c r="Q586" s="125" t="s">
        <v>2268</v>
      </c>
      <c r="R586" s="355" t="s">
        <v>8959</v>
      </c>
      <c r="S586" s="256" t="s">
        <v>16</v>
      </c>
      <c r="T586" s="854"/>
      <c r="U586" s="40" t="s">
        <v>8435</v>
      </c>
      <c r="V586" s="40" t="s">
        <v>6540</v>
      </c>
      <c r="W586" s="40" t="s">
        <v>37</v>
      </c>
      <c r="X586" s="41">
        <v>44390</v>
      </c>
      <c r="Y586" s="40"/>
      <c r="Z586" s="54"/>
      <c r="AA586" s="652"/>
    </row>
    <row r="587" spans="1:27" s="869" customFormat="1" ht="39" x14ac:dyDescent="0.25">
      <c r="A587" s="339"/>
      <c r="B587" s="116"/>
      <c r="C587" s="95"/>
      <c r="D587" s="567"/>
      <c r="E587" s="567"/>
      <c r="F587" s="146"/>
      <c r="G587" s="146"/>
      <c r="H587" s="95"/>
      <c r="I587" s="880"/>
      <c r="J587" s="95">
        <v>5314</v>
      </c>
      <c r="K587" s="462">
        <v>84</v>
      </c>
      <c r="L587" s="913">
        <v>1928405.8377</v>
      </c>
      <c r="M587" s="913">
        <v>5782010.0670999996</v>
      </c>
      <c r="N587" s="856" t="s">
        <v>406</v>
      </c>
      <c r="O587" s="258" t="s">
        <v>194</v>
      </c>
      <c r="P587" s="258">
        <v>1</v>
      </c>
      <c r="Q587" s="95" t="s">
        <v>8965</v>
      </c>
      <c r="R587" s="359" t="s">
        <v>8959</v>
      </c>
      <c r="S587" s="373" t="s">
        <v>16</v>
      </c>
      <c r="T587" s="855"/>
      <c r="U587" s="46" t="s">
        <v>8435</v>
      </c>
      <c r="V587" s="46" t="s">
        <v>6540</v>
      </c>
      <c r="W587" s="46" t="s">
        <v>37</v>
      </c>
      <c r="X587" s="47">
        <v>44390</v>
      </c>
      <c r="Y587" s="46"/>
      <c r="Z587" s="365"/>
      <c r="AA587" s="1107"/>
    </row>
    <row r="588" spans="1:27" s="869" customFormat="1" ht="39" x14ac:dyDescent="0.25">
      <c r="A588" s="339"/>
      <c r="B588" s="116"/>
      <c r="C588" s="95"/>
      <c r="D588" s="567"/>
      <c r="E588" s="567"/>
      <c r="F588" s="146"/>
      <c r="G588" s="146"/>
      <c r="H588" s="95"/>
      <c r="I588" s="880"/>
      <c r="J588" s="95">
        <v>5315</v>
      </c>
      <c r="K588" s="462">
        <v>85</v>
      </c>
      <c r="L588" s="913">
        <v>1928575.5253000001</v>
      </c>
      <c r="M588" s="913">
        <v>5782350.6649000002</v>
      </c>
      <c r="N588" s="856" t="s">
        <v>8411</v>
      </c>
      <c r="O588" s="258" t="s">
        <v>194</v>
      </c>
      <c r="P588" s="258">
        <v>1</v>
      </c>
      <c r="Q588" s="95" t="s">
        <v>2684</v>
      </c>
      <c r="R588" s="359" t="s">
        <v>8959</v>
      </c>
      <c r="S588" s="373" t="s">
        <v>16</v>
      </c>
      <c r="T588" s="855" t="s">
        <v>8417</v>
      </c>
      <c r="U588" s="46" t="s">
        <v>8435</v>
      </c>
      <c r="V588" s="46" t="s">
        <v>6540</v>
      </c>
      <c r="W588" s="46" t="s">
        <v>37</v>
      </c>
      <c r="X588" s="47">
        <v>44390</v>
      </c>
      <c r="Y588" s="46"/>
      <c r="Z588" s="365"/>
      <c r="AA588" s="1107"/>
    </row>
    <row r="589" spans="1:27" s="869" customFormat="1" ht="39" x14ac:dyDescent="0.25">
      <c r="A589" s="339"/>
      <c r="B589" s="116"/>
      <c r="C589" s="95"/>
      <c r="D589" s="567"/>
      <c r="E589" s="567"/>
      <c r="F589" s="146"/>
      <c r="G589" s="146"/>
      <c r="H589" s="95"/>
      <c r="I589" s="880"/>
      <c r="J589" s="95">
        <v>5316</v>
      </c>
      <c r="K589" s="462">
        <v>85.1</v>
      </c>
      <c r="L589" s="913">
        <v>1928665.5899</v>
      </c>
      <c r="M589" s="913">
        <v>5782370.8147</v>
      </c>
      <c r="N589" s="856" t="s">
        <v>8418</v>
      </c>
      <c r="O589" s="258" t="s">
        <v>194</v>
      </c>
      <c r="P589" s="258">
        <v>1</v>
      </c>
      <c r="Q589" s="95" t="s">
        <v>2684</v>
      </c>
      <c r="R589" s="359" t="s">
        <v>8959</v>
      </c>
      <c r="S589" s="373" t="s">
        <v>16</v>
      </c>
      <c r="T589" s="855" t="s">
        <v>8419</v>
      </c>
      <c r="U589" s="46" t="s">
        <v>8435</v>
      </c>
      <c r="V589" s="46" t="s">
        <v>6540</v>
      </c>
      <c r="W589" s="46" t="s">
        <v>37</v>
      </c>
      <c r="X589" s="47">
        <v>44390</v>
      </c>
      <c r="Y589" s="46"/>
      <c r="Z589" s="365"/>
      <c r="AA589" s="1107"/>
    </row>
    <row r="590" spans="1:27" s="869" customFormat="1" ht="39" x14ac:dyDescent="0.25">
      <c r="A590" s="339"/>
      <c r="B590" s="116"/>
      <c r="C590" s="95"/>
      <c r="D590" s="567"/>
      <c r="E590" s="567"/>
      <c r="F590" s="146"/>
      <c r="G590" s="146"/>
      <c r="H590" s="95"/>
      <c r="I590" s="880"/>
      <c r="J590" s="95">
        <v>5317</v>
      </c>
      <c r="K590" s="462">
        <v>86</v>
      </c>
      <c r="L590" s="913">
        <v>1928875.7071</v>
      </c>
      <c r="M590" s="913">
        <v>5782441.1889000004</v>
      </c>
      <c r="N590" s="856" t="s">
        <v>406</v>
      </c>
      <c r="O590" s="258" t="s">
        <v>194</v>
      </c>
      <c r="P590" s="258">
        <v>1</v>
      </c>
      <c r="Q590" s="95" t="s">
        <v>8965</v>
      </c>
      <c r="R590" s="359" t="s">
        <v>8959</v>
      </c>
      <c r="S590" s="373" t="s">
        <v>16</v>
      </c>
      <c r="T590" s="855" t="s">
        <v>8419</v>
      </c>
      <c r="U590" s="46" t="s">
        <v>8435</v>
      </c>
      <c r="V590" s="46" t="s">
        <v>6540</v>
      </c>
      <c r="W590" s="46" t="s">
        <v>37</v>
      </c>
      <c r="X590" s="47">
        <v>44390</v>
      </c>
      <c r="Y590" s="46"/>
      <c r="Z590" s="365"/>
      <c r="AA590" s="1107"/>
    </row>
    <row r="591" spans="1:27" s="869" customFormat="1" ht="39" x14ac:dyDescent="0.25">
      <c r="A591" s="339"/>
      <c r="B591" s="116"/>
      <c r="C591" s="95"/>
      <c r="D591" s="567"/>
      <c r="E591" s="567"/>
      <c r="F591" s="146"/>
      <c r="G591" s="146"/>
      <c r="H591" s="95"/>
      <c r="I591" s="880"/>
      <c r="J591" s="95">
        <v>5318</v>
      </c>
      <c r="K591" s="462">
        <v>86.1</v>
      </c>
      <c r="L591" s="913">
        <v>1928925.6871</v>
      </c>
      <c r="M591" s="913">
        <v>5782491.3128000004</v>
      </c>
      <c r="N591" s="856" t="s">
        <v>406</v>
      </c>
      <c r="O591" s="258" t="s">
        <v>194</v>
      </c>
      <c r="P591" s="258">
        <v>1</v>
      </c>
      <c r="Q591" s="95" t="s">
        <v>8965</v>
      </c>
      <c r="R591" s="359" t="s">
        <v>8959</v>
      </c>
      <c r="S591" s="373" t="s">
        <v>16</v>
      </c>
      <c r="T591" s="855" t="s">
        <v>8420</v>
      </c>
      <c r="U591" s="46" t="s">
        <v>8435</v>
      </c>
      <c r="V591" s="46" t="s">
        <v>6540</v>
      </c>
      <c r="W591" s="46" t="s">
        <v>37</v>
      </c>
      <c r="X591" s="47">
        <v>44390</v>
      </c>
      <c r="Y591" s="46"/>
      <c r="Z591" s="365"/>
      <c r="AA591" s="1107"/>
    </row>
    <row r="592" spans="1:27" s="869" customFormat="1" ht="39" x14ac:dyDescent="0.25">
      <c r="A592" s="339"/>
      <c r="B592" s="116"/>
      <c r="C592" s="95"/>
      <c r="D592" s="567"/>
      <c r="E592" s="567"/>
      <c r="F592" s="146"/>
      <c r="G592" s="146"/>
      <c r="H592" s="95"/>
      <c r="I592" s="880"/>
      <c r="J592" s="95">
        <v>5319</v>
      </c>
      <c r="K592" s="462">
        <v>86.2</v>
      </c>
      <c r="L592" s="913">
        <v>1929015.7087000001</v>
      </c>
      <c r="M592" s="913">
        <v>5782541.4941999996</v>
      </c>
      <c r="N592" s="856" t="s">
        <v>1236</v>
      </c>
      <c r="O592" s="258" t="s">
        <v>194</v>
      </c>
      <c r="P592" s="258">
        <v>1</v>
      </c>
      <c r="Q592" s="95" t="s">
        <v>2268</v>
      </c>
      <c r="R592" s="359" t="s">
        <v>8959</v>
      </c>
      <c r="S592" s="373" t="s">
        <v>16</v>
      </c>
      <c r="T592" s="855" t="s">
        <v>8421</v>
      </c>
      <c r="U592" s="46" t="s">
        <v>8435</v>
      </c>
      <c r="V592" s="46" t="s">
        <v>6540</v>
      </c>
      <c r="W592" s="46" t="s">
        <v>37</v>
      </c>
      <c r="X592" s="47">
        <v>44390</v>
      </c>
      <c r="Y592" s="46"/>
      <c r="Z592" s="365"/>
      <c r="AA592" s="1107"/>
    </row>
    <row r="593" spans="1:27" s="869" customFormat="1" ht="39.75" thickBot="1" x14ac:dyDescent="0.3">
      <c r="A593" s="336"/>
      <c r="B593" s="196"/>
      <c r="C593" s="96"/>
      <c r="D593" s="566"/>
      <c r="E593" s="566"/>
      <c r="F593" s="147"/>
      <c r="G593" s="147"/>
      <c r="H593" s="96"/>
      <c r="I593" s="881"/>
      <c r="J593" s="96">
        <v>5320</v>
      </c>
      <c r="K593" s="363">
        <v>87</v>
      </c>
      <c r="L593" s="912">
        <v>1929255.7567</v>
      </c>
      <c r="M593" s="912">
        <v>5782681.9852</v>
      </c>
      <c r="N593" s="549" t="s">
        <v>1235</v>
      </c>
      <c r="O593" s="261" t="s">
        <v>194</v>
      </c>
      <c r="P593" s="261">
        <v>1</v>
      </c>
      <c r="Q593" s="96" t="s">
        <v>5863</v>
      </c>
      <c r="R593" s="357" t="s">
        <v>8959</v>
      </c>
      <c r="S593" s="330" t="s">
        <v>16</v>
      </c>
      <c r="T593" s="828" t="s">
        <v>8422</v>
      </c>
      <c r="U593" s="52" t="s">
        <v>8435</v>
      </c>
      <c r="V593" s="52" t="s">
        <v>6540</v>
      </c>
      <c r="W593" s="52" t="s">
        <v>37</v>
      </c>
      <c r="X593" s="53">
        <v>44390</v>
      </c>
      <c r="Y593" s="52"/>
      <c r="Z593" s="367"/>
      <c r="AA593" s="653"/>
    </row>
    <row r="594" spans="1:27" ht="39" x14ac:dyDescent="0.25">
      <c r="A594" s="487" t="s">
        <v>2226</v>
      </c>
      <c r="B594" s="128" t="s">
        <v>2226</v>
      </c>
      <c r="C594" s="72">
        <v>581</v>
      </c>
      <c r="D594" s="586" t="s">
        <v>52</v>
      </c>
      <c r="E594" s="586" t="s">
        <v>408</v>
      </c>
      <c r="F594" s="140" t="s">
        <v>668</v>
      </c>
      <c r="G594" s="72" t="s">
        <v>2241</v>
      </c>
      <c r="H594" s="72" t="s">
        <v>9096</v>
      </c>
      <c r="I594" s="381" t="s">
        <v>9097</v>
      </c>
      <c r="J594" s="187">
        <v>5389</v>
      </c>
      <c r="K594" s="73">
        <v>-22</v>
      </c>
      <c r="L594" s="129">
        <v>1673153</v>
      </c>
      <c r="M594" s="129">
        <v>5325867</v>
      </c>
      <c r="N594" s="129" t="s">
        <v>8799</v>
      </c>
      <c r="O594" s="251" t="s">
        <v>194</v>
      </c>
      <c r="P594" s="251">
        <v>1</v>
      </c>
      <c r="Q594" s="129" t="s">
        <v>8902</v>
      </c>
      <c r="R594" s="82" t="s">
        <v>8870</v>
      </c>
      <c r="S594" s="66" t="s">
        <v>16</v>
      </c>
      <c r="T594" s="891" t="s">
        <v>8680</v>
      </c>
      <c r="U594" s="30" t="s">
        <v>8681</v>
      </c>
      <c r="V594" s="40" t="s">
        <v>9219</v>
      </c>
      <c r="W594" s="40" t="s">
        <v>37</v>
      </c>
      <c r="X594" s="41">
        <v>44400</v>
      </c>
      <c r="Y594" s="40"/>
      <c r="Z594" s="54"/>
      <c r="AA594" s="652"/>
    </row>
    <row r="595" spans="1:27" ht="39" x14ac:dyDescent="0.25">
      <c r="A595" s="488"/>
      <c r="B595" s="131"/>
      <c r="C595" s="75"/>
      <c r="D595" s="568"/>
      <c r="E595" s="568"/>
      <c r="F595" s="143"/>
      <c r="G595" s="75"/>
      <c r="H595" s="75"/>
      <c r="I595" s="875"/>
      <c r="J595" s="188">
        <v>5390</v>
      </c>
      <c r="K595" s="76">
        <v>-20</v>
      </c>
      <c r="L595" s="118">
        <v>1673155</v>
      </c>
      <c r="M595" s="118">
        <v>5325976</v>
      </c>
      <c r="N595" s="118" t="s">
        <v>8800</v>
      </c>
      <c r="O595" s="312" t="s">
        <v>194</v>
      </c>
      <c r="P595" s="312">
        <v>1</v>
      </c>
      <c r="Q595" s="118" t="s">
        <v>8903</v>
      </c>
      <c r="R595" s="571" t="s">
        <v>8870</v>
      </c>
      <c r="S595" s="68" t="s">
        <v>16</v>
      </c>
      <c r="T595" s="892" t="s">
        <v>8680</v>
      </c>
      <c r="U595" s="45" t="s">
        <v>8681</v>
      </c>
      <c r="V595" s="46" t="s">
        <v>9219</v>
      </c>
      <c r="W595" s="46" t="s">
        <v>37</v>
      </c>
      <c r="X595" s="47">
        <v>44400</v>
      </c>
      <c r="Y595" s="46"/>
      <c r="Z595" s="365"/>
      <c r="AA595" s="1107"/>
    </row>
    <row r="596" spans="1:27" ht="39" x14ac:dyDescent="0.25">
      <c r="A596" s="488"/>
      <c r="B596" s="131"/>
      <c r="C596" s="75"/>
      <c r="D596" s="568"/>
      <c r="E596" s="568"/>
      <c r="F596" s="143"/>
      <c r="G596" s="75"/>
      <c r="H596" s="75"/>
      <c r="I596" s="875"/>
      <c r="J596" s="188">
        <v>5391</v>
      </c>
      <c r="K596" s="76">
        <v>-18</v>
      </c>
      <c r="L596" s="118">
        <v>1673153</v>
      </c>
      <c r="M596" s="118">
        <v>5325867</v>
      </c>
      <c r="N596" s="118" t="s">
        <v>8799</v>
      </c>
      <c r="O596" s="312" t="s">
        <v>194</v>
      </c>
      <c r="P596" s="312">
        <v>1</v>
      </c>
      <c r="Q596" s="118" t="s">
        <v>8904</v>
      </c>
      <c r="R596" s="571" t="s">
        <v>8870</v>
      </c>
      <c r="S596" s="68" t="s">
        <v>16</v>
      </c>
      <c r="T596" s="892" t="s">
        <v>8680</v>
      </c>
      <c r="U596" s="45" t="s">
        <v>8681</v>
      </c>
      <c r="V596" s="46" t="s">
        <v>9219</v>
      </c>
      <c r="W596" s="46" t="s">
        <v>37</v>
      </c>
      <c r="X596" s="47">
        <v>44400</v>
      </c>
      <c r="Y596" s="46"/>
      <c r="Z596" s="365"/>
      <c r="AA596" s="1107"/>
    </row>
    <row r="597" spans="1:27" ht="39" x14ac:dyDescent="0.25">
      <c r="A597" s="488"/>
      <c r="B597" s="131"/>
      <c r="C597" s="75"/>
      <c r="D597" s="568"/>
      <c r="E597" s="568"/>
      <c r="F597" s="143"/>
      <c r="G597" s="75"/>
      <c r="H597" s="75"/>
      <c r="I597" s="875"/>
      <c r="J597" s="188">
        <v>5392</v>
      </c>
      <c r="K597" s="76">
        <v>-16</v>
      </c>
      <c r="L597" s="118">
        <v>1673153</v>
      </c>
      <c r="M597" s="118">
        <v>5325867</v>
      </c>
      <c r="N597" s="118" t="s">
        <v>8800</v>
      </c>
      <c r="O597" s="312" t="s">
        <v>194</v>
      </c>
      <c r="P597" s="312">
        <v>1</v>
      </c>
      <c r="Q597" s="118" t="s">
        <v>8903</v>
      </c>
      <c r="R597" s="571" t="s">
        <v>8870</v>
      </c>
      <c r="S597" s="68" t="s">
        <v>16</v>
      </c>
      <c r="T597" s="892" t="s">
        <v>8680</v>
      </c>
      <c r="U597" s="45" t="s">
        <v>8681</v>
      </c>
      <c r="V597" s="46" t="s">
        <v>9219</v>
      </c>
      <c r="W597" s="46" t="s">
        <v>37</v>
      </c>
      <c r="X597" s="47">
        <v>44400</v>
      </c>
      <c r="Y597" s="46"/>
      <c r="Z597" s="365"/>
      <c r="AA597" s="1107"/>
    </row>
    <row r="598" spans="1:27" ht="39" x14ac:dyDescent="0.25">
      <c r="A598" s="488"/>
      <c r="B598" s="131"/>
      <c r="C598" s="75"/>
      <c r="D598" s="568"/>
      <c r="E598" s="568"/>
      <c r="F598" s="143"/>
      <c r="G598" s="75"/>
      <c r="H598" s="75"/>
      <c r="I598" s="875"/>
      <c r="J598" s="188">
        <v>5393</v>
      </c>
      <c r="K598" s="76">
        <v>-14</v>
      </c>
      <c r="L598" s="118">
        <v>1673103</v>
      </c>
      <c r="M598" s="118">
        <v>5326580</v>
      </c>
      <c r="N598" s="118" t="s">
        <v>8207</v>
      </c>
      <c r="O598" s="312" t="s">
        <v>194</v>
      </c>
      <c r="P598" s="312">
        <v>1</v>
      </c>
      <c r="Q598" s="118" t="s">
        <v>8905</v>
      </c>
      <c r="R598" s="571" t="s">
        <v>8870</v>
      </c>
      <c r="S598" s="68" t="s">
        <v>16</v>
      </c>
      <c r="T598" s="892" t="s">
        <v>8680</v>
      </c>
      <c r="U598" s="45" t="s">
        <v>8681</v>
      </c>
      <c r="V598" s="46" t="s">
        <v>9219</v>
      </c>
      <c r="W598" s="46" t="s">
        <v>37</v>
      </c>
      <c r="X598" s="47">
        <v>44400</v>
      </c>
      <c r="Y598" s="46"/>
      <c r="Z598" s="365"/>
      <c r="AA598" s="1107"/>
    </row>
    <row r="599" spans="1:27" ht="39" x14ac:dyDescent="0.25">
      <c r="A599" s="488"/>
      <c r="B599" s="131"/>
      <c r="C599" s="75"/>
      <c r="D599" s="568"/>
      <c r="E599" s="568"/>
      <c r="F599" s="143"/>
      <c r="G599" s="75"/>
      <c r="H599" s="75"/>
      <c r="I599" s="875"/>
      <c r="J599" s="188">
        <v>5394</v>
      </c>
      <c r="K599" s="76">
        <v>-12</v>
      </c>
      <c r="L599" s="118">
        <v>1673085</v>
      </c>
      <c r="M599" s="118">
        <v>5326780</v>
      </c>
      <c r="N599" s="118" t="s">
        <v>8801</v>
      </c>
      <c r="O599" s="312" t="s">
        <v>194</v>
      </c>
      <c r="P599" s="312">
        <v>1</v>
      </c>
      <c r="Q599" s="118" t="s">
        <v>8906</v>
      </c>
      <c r="R599" s="571" t="s">
        <v>8870</v>
      </c>
      <c r="S599" s="68" t="s">
        <v>16</v>
      </c>
      <c r="T599" s="892" t="s">
        <v>8680</v>
      </c>
      <c r="U599" s="45" t="s">
        <v>8681</v>
      </c>
      <c r="V599" s="46" t="s">
        <v>9219</v>
      </c>
      <c r="W599" s="46" t="s">
        <v>37</v>
      </c>
      <c r="X599" s="47">
        <v>44400</v>
      </c>
      <c r="Y599" s="46"/>
      <c r="Z599" s="365"/>
      <c r="AA599" s="1107"/>
    </row>
    <row r="600" spans="1:27" ht="39" x14ac:dyDescent="0.25">
      <c r="A600" s="488"/>
      <c r="B600" s="131"/>
      <c r="C600" s="75"/>
      <c r="D600" s="568"/>
      <c r="E600" s="568"/>
      <c r="F600" s="143"/>
      <c r="G600" s="75"/>
      <c r="H600" s="75"/>
      <c r="I600" s="875"/>
      <c r="J600" s="188">
        <v>5395</v>
      </c>
      <c r="K600" s="76">
        <v>-10</v>
      </c>
      <c r="L600" s="118">
        <v>1673027</v>
      </c>
      <c r="M600" s="118">
        <v>5326969</v>
      </c>
      <c r="N600" s="118" t="s">
        <v>8802</v>
      </c>
      <c r="O600" s="312" t="s">
        <v>194</v>
      </c>
      <c r="P600" s="312">
        <v>1</v>
      </c>
      <c r="Q600" s="118" t="s">
        <v>8907</v>
      </c>
      <c r="R600" s="571" t="s">
        <v>8870</v>
      </c>
      <c r="S600" s="68" t="s">
        <v>16</v>
      </c>
      <c r="T600" s="892" t="s">
        <v>8680</v>
      </c>
      <c r="U600" s="45" t="s">
        <v>8682</v>
      </c>
      <c r="V600" s="46" t="s">
        <v>9219</v>
      </c>
      <c r="W600" s="46" t="s">
        <v>37</v>
      </c>
      <c r="X600" s="47">
        <v>44400</v>
      </c>
      <c r="Y600" s="46"/>
      <c r="Z600" s="365"/>
      <c r="AA600" s="1107"/>
    </row>
    <row r="601" spans="1:27" ht="39" x14ac:dyDescent="0.25">
      <c r="A601" s="488"/>
      <c r="B601" s="131"/>
      <c r="C601" s="75"/>
      <c r="D601" s="568"/>
      <c r="E601" s="568"/>
      <c r="F601" s="143"/>
      <c r="G601" s="75"/>
      <c r="H601" s="75"/>
      <c r="I601" s="875"/>
      <c r="J601" s="188">
        <v>5396</v>
      </c>
      <c r="K601" s="76">
        <v>-8</v>
      </c>
      <c r="L601" s="118">
        <v>1672984</v>
      </c>
      <c r="M601" s="118">
        <v>5327166</v>
      </c>
      <c r="N601" s="118" t="s">
        <v>8803</v>
      </c>
      <c r="O601" s="312" t="s">
        <v>194</v>
      </c>
      <c r="P601" s="312">
        <v>1</v>
      </c>
      <c r="Q601" s="118" t="s">
        <v>8908</v>
      </c>
      <c r="R601" s="571" t="s">
        <v>8870</v>
      </c>
      <c r="S601" s="68" t="s">
        <v>16</v>
      </c>
      <c r="T601" s="892" t="s">
        <v>8680</v>
      </c>
      <c r="U601" s="45" t="s">
        <v>8682</v>
      </c>
      <c r="V601" s="46" t="s">
        <v>9219</v>
      </c>
      <c r="W601" s="46" t="s">
        <v>37</v>
      </c>
      <c r="X601" s="47">
        <v>44400</v>
      </c>
      <c r="Y601" s="46"/>
      <c r="Z601" s="365"/>
      <c r="AA601" s="1107"/>
    </row>
    <row r="602" spans="1:27" ht="39" x14ac:dyDescent="0.25">
      <c r="A602" s="488"/>
      <c r="B602" s="131"/>
      <c r="C602" s="75"/>
      <c r="D602" s="568"/>
      <c r="E602" s="568"/>
      <c r="F602" s="143"/>
      <c r="G602" s="75"/>
      <c r="H602" s="75"/>
      <c r="I602" s="875"/>
      <c r="J602" s="188">
        <v>5397</v>
      </c>
      <c r="K602" s="76">
        <v>-6</v>
      </c>
      <c r="L602" s="118">
        <v>1672899</v>
      </c>
      <c r="M602" s="118">
        <v>5327358</v>
      </c>
      <c r="N602" s="118" t="s">
        <v>8804</v>
      </c>
      <c r="O602" s="312" t="s">
        <v>194</v>
      </c>
      <c r="P602" s="312">
        <v>1</v>
      </c>
      <c r="Q602" s="118" t="s">
        <v>8909</v>
      </c>
      <c r="R602" s="571" t="s">
        <v>8870</v>
      </c>
      <c r="S602" s="68" t="s">
        <v>16</v>
      </c>
      <c r="T602" s="892" t="s">
        <v>8680</v>
      </c>
      <c r="U602" s="45" t="s">
        <v>8682</v>
      </c>
      <c r="V602" s="46" t="s">
        <v>9219</v>
      </c>
      <c r="W602" s="46" t="s">
        <v>37</v>
      </c>
      <c r="X602" s="47">
        <v>44400</v>
      </c>
      <c r="Y602" s="46"/>
      <c r="Z602" s="365"/>
      <c r="AA602" s="1107"/>
    </row>
    <row r="603" spans="1:27" ht="39" x14ac:dyDescent="0.25">
      <c r="A603" s="488"/>
      <c r="B603" s="131"/>
      <c r="C603" s="75"/>
      <c r="D603" s="568"/>
      <c r="E603" s="568"/>
      <c r="F603" s="143"/>
      <c r="G603" s="75"/>
      <c r="H603" s="75"/>
      <c r="I603" s="875"/>
      <c r="J603" s="188">
        <v>5398</v>
      </c>
      <c r="K603" s="76">
        <v>-4</v>
      </c>
      <c r="L603" s="118">
        <v>1672895</v>
      </c>
      <c r="M603" s="118">
        <v>5327568</v>
      </c>
      <c r="N603" s="118" t="s">
        <v>8805</v>
      </c>
      <c r="O603" s="312" t="s">
        <v>194</v>
      </c>
      <c r="P603" s="312">
        <v>1</v>
      </c>
      <c r="Q603" s="118" t="s">
        <v>8910</v>
      </c>
      <c r="R603" s="571" t="s">
        <v>8870</v>
      </c>
      <c r="S603" s="68" t="s">
        <v>16</v>
      </c>
      <c r="T603" s="892" t="s">
        <v>8680</v>
      </c>
      <c r="U603" s="45" t="s">
        <v>8682</v>
      </c>
      <c r="V603" s="46" t="s">
        <v>9219</v>
      </c>
      <c r="W603" s="46" t="s">
        <v>37</v>
      </c>
      <c r="X603" s="47">
        <v>44400</v>
      </c>
      <c r="Y603" s="46"/>
      <c r="Z603" s="365"/>
      <c r="AA603" s="1107"/>
    </row>
    <row r="604" spans="1:27" ht="39" x14ac:dyDescent="0.25">
      <c r="A604" s="488"/>
      <c r="B604" s="131"/>
      <c r="C604" s="75"/>
      <c r="D604" s="568"/>
      <c r="E604" s="568"/>
      <c r="F604" s="143"/>
      <c r="G604" s="75"/>
      <c r="H604" s="75"/>
      <c r="I604" s="875"/>
      <c r="J604" s="188">
        <v>5399</v>
      </c>
      <c r="K604" s="76">
        <v>-2</v>
      </c>
      <c r="L604" s="118">
        <v>1672846</v>
      </c>
      <c r="M604" s="118">
        <v>5327752</v>
      </c>
      <c r="N604" s="118" t="s">
        <v>8806</v>
      </c>
      <c r="O604" s="312" t="s">
        <v>194</v>
      </c>
      <c r="P604" s="312">
        <v>1</v>
      </c>
      <c r="Q604" s="118" t="s">
        <v>8911</v>
      </c>
      <c r="R604" s="571" t="s">
        <v>8870</v>
      </c>
      <c r="S604" s="68" t="s">
        <v>16</v>
      </c>
      <c r="T604" s="892" t="s">
        <v>8680</v>
      </c>
      <c r="U604" s="45" t="s">
        <v>8682</v>
      </c>
      <c r="V604" s="46" t="s">
        <v>9219</v>
      </c>
      <c r="W604" s="46" t="s">
        <v>37</v>
      </c>
      <c r="X604" s="47">
        <v>44400</v>
      </c>
      <c r="Y604" s="46"/>
      <c r="Z604" s="365"/>
      <c r="AA604" s="1107"/>
    </row>
    <row r="605" spans="1:27" ht="39" x14ac:dyDescent="0.25">
      <c r="A605" s="488"/>
      <c r="B605" s="131"/>
      <c r="C605" s="75"/>
      <c r="D605" s="568"/>
      <c r="E605" s="568"/>
      <c r="F605" s="143"/>
      <c r="G605" s="75"/>
      <c r="H605" s="75"/>
      <c r="I605" s="875"/>
      <c r="J605" s="188">
        <v>5400</v>
      </c>
      <c r="K605" s="76">
        <v>0</v>
      </c>
      <c r="L605" s="118">
        <v>1672748</v>
      </c>
      <c r="M605" s="118">
        <v>5327972</v>
      </c>
      <c r="N605" s="118" t="s">
        <v>8807</v>
      </c>
      <c r="O605" s="312" t="s">
        <v>194</v>
      </c>
      <c r="P605" s="312">
        <v>1</v>
      </c>
      <c r="Q605" s="118" t="s">
        <v>8912</v>
      </c>
      <c r="R605" s="571" t="s">
        <v>8870</v>
      </c>
      <c r="S605" s="68" t="s">
        <v>16</v>
      </c>
      <c r="T605" s="892" t="s">
        <v>8683</v>
      </c>
      <c r="U605" s="45" t="s">
        <v>8684</v>
      </c>
      <c r="V605" s="46" t="s">
        <v>9219</v>
      </c>
      <c r="W605" s="46" t="s">
        <v>37</v>
      </c>
      <c r="X605" s="47">
        <v>44400</v>
      </c>
      <c r="Y605" s="46"/>
      <c r="Z605" s="365"/>
      <c r="AA605" s="1107"/>
    </row>
    <row r="606" spans="1:27" ht="39" x14ac:dyDescent="0.25">
      <c r="A606" s="488"/>
      <c r="B606" s="131"/>
      <c r="C606" s="75"/>
      <c r="D606" s="568"/>
      <c r="E606" s="568"/>
      <c r="F606" s="143"/>
      <c r="G606" s="75"/>
      <c r="H606" s="75"/>
      <c r="I606" s="875"/>
      <c r="J606" s="188">
        <v>5401</v>
      </c>
      <c r="K606" s="76">
        <v>1</v>
      </c>
      <c r="L606" s="118">
        <v>1672736</v>
      </c>
      <c r="M606" s="118">
        <v>5327999</v>
      </c>
      <c r="N606" s="118" t="s">
        <v>8685</v>
      </c>
      <c r="O606" s="312" t="s">
        <v>2090</v>
      </c>
      <c r="P606" s="312" t="s">
        <v>419</v>
      </c>
      <c r="Q606" s="118" t="s">
        <v>8817</v>
      </c>
      <c r="R606" s="571" t="s">
        <v>4329</v>
      </c>
      <c r="S606" s="68" t="s">
        <v>10</v>
      </c>
      <c r="T606" s="892" t="s">
        <v>8686</v>
      </c>
      <c r="U606" s="45" t="s">
        <v>8687</v>
      </c>
      <c r="V606" s="46" t="s">
        <v>9219</v>
      </c>
      <c r="W606" s="46" t="s">
        <v>37</v>
      </c>
      <c r="X606" s="47">
        <v>44400</v>
      </c>
      <c r="Y606" s="46"/>
      <c r="Z606" s="365"/>
      <c r="AA606" s="1107"/>
    </row>
    <row r="607" spans="1:27" ht="39" x14ac:dyDescent="0.25">
      <c r="A607" s="488"/>
      <c r="B607" s="131"/>
      <c r="C607" s="75"/>
      <c r="D607" s="568"/>
      <c r="E607" s="568"/>
      <c r="F607" s="143"/>
      <c r="G607" s="75"/>
      <c r="H607" s="75"/>
      <c r="I607" s="875"/>
      <c r="J607" s="188">
        <v>5402</v>
      </c>
      <c r="K607" s="76">
        <v>1.4</v>
      </c>
      <c r="L607" s="118">
        <v>1672692</v>
      </c>
      <c r="M607" s="118">
        <v>5328059</v>
      </c>
      <c r="N607" s="118" t="s">
        <v>8688</v>
      </c>
      <c r="O607" s="312" t="s">
        <v>2090</v>
      </c>
      <c r="P607" s="312" t="s">
        <v>419</v>
      </c>
      <c r="Q607" s="118" t="s">
        <v>8819</v>
      </c>
      <c r="R607" s="571" t="s">
        <v>4329</v>
      </c>
      <c r="S607" s="68" t="s">
        <v>10</v>
      </c>
      <c r="T607" s="892" t="s">
        <v>8412</v>
      </c>
      <c r="U607" s="45" t="s">
        <v>8687</v>
      </c>
      <c r="V607" s="46" t="s">
        <v>9219</v>
      </c>
      <c r="W607" s="46" t="s">
        <v>37</v>
      </c>
      <c r="X607" s="47">
        <v>44400</v>
      </c>
      <c r="Y607" s="46"/>
      <c r="Z607" s="365"/>
      <c r="AA607" s="1107"/>
    </row>
    <row r="608" spans="1:27" ht="39" x14ac:dyDescent="0.25">
      <c r="A608" s="488"/>
      <c r="B608" s="131"/>
      <c r="C608" s="75"/>
      <c r="D608" s="568"/>
      <c r="E608" s="568"/>
      <c r="F608" s="143"/>
      <c r="G608" s="75"/>
      <c r="H608" s="75"/>
      <c r="I608" s="875"/>
      <c r="J608" s="188">
        <v>5403</v>
      </c>
      <c r="K608" s="76">
        <v>2</v>
      </c>
      <c r="L608" s="118">
        <v>1672647</v>
      </c>
      <c r="M608" s="118">
        <v>5328136</v>
      </c>
      <c r="N608" s="118" t="s">
        <v>8689</v>
      </c>
      <c r="O608" s="312" t="s">
        <v>2090</v>
      </c>
      <c r="P608" s="312" t="s">
        <v>419</v>
      </c>
      <c r="Q608" s="118" t="s">
        <v>8820</v>
      </c>
      <c r="R608" s="571" t="s">
        <v>4329</v>
      </c>
      <c r="S608" s="68" t="s">
        <v>10</v>
      </c>
      <c r="T608" s="892" t="s">
        <v>4131</v>
      </c>
      <c r="U608" s="45" t="s">
        <v>8687</v>
      </c>
      <c r="V608" s="46" t="s">
        <v>9219</v>
      </c>
      <c r="W608" s="46" t="s">
        <v>37</v>
      </c>
      <c r="X608" s="47">
        <v>44400</v>
      </c>
      <c r="Y608" s="46"/>
      <c r="Z608" s="365"/>
      <c r="AA608" s="1107"/>
    </row>
    <row r="609" spans="1:27" ht="39" x14ac:dyDescent="0.25">
      <c r="A609" s="488"/>
      <c r="B609" s="131"/>
      <c r="C609" s="75"/>
      <c r="D609" s="568"/>
      <c r="E609" s="568"/>
      <c r="F609" s="143"/>
      <c r="G609" s="75"/>
      <c r="H609" s="75"/>
      <c r="I609" s="875"/>
      <c r="J609" s="188">
        <v>5404</v>
      </c>
      <c r="K609" s="76">
        <v>2</v>
      </c>
      <c r="L609" s="118">
        <v>1672645</v>
      </c>
      <c r="M609" s="118">
        <v>5328139</v>
      </c>
      <c r="N609" s="118" t="s">
        <v>8690</v>
      </c>
      <c r="O609" s="312" t="s">
        <v>2090</v>
      </c>
      <c r="P609" s="312" t="s">
        <v>419</v>
      </c>
      <c r="Q609" s="118" t="s">
        <v>8821</v>
      </c>
      <c r="R609" s="571" t="s">
        <v>4329</v>
      </c>
      <c r="S609" s="68" t="s">
        <v>10</v>
      </c>
      <c r="T609" s="892" t="s">
        <v>4524</v>
      </c>
      <c r="U609" s="45" t="s">
        <v>8687</v>
      </c>
      <c r="V609" s="46" t="s">
        <v>9219</v>
      </c>
      <c r="W609" s="46" t="s">
        <v>37</v>
      </c>
      <c r="X609" s="47">
        <v>44400</v>
      </c>
      <c r="Y609" s="46"/>
      <c r="Z609" s="365"/>
      <c r="AA609" s="1107"/>
    </row>
    <row r="610" spans="1:27" ht="39" x14ac:dyDescent="0.25">
      <c r="A610" s="488"/>
      <c r="B610" s="131"/>
      <c r="C610" s="75"/>
      <c r="D610" s="568"/>
      <c r="E610" s="568"/>
      <c r="F610" s="143"/>
      <c r="G610" s="75"/>
      <c r="H610" s="75"/>
      <c r="I610" s="875"/>
      <c r="J610" s="188">
        <v>5405</v>
      </c>
      <c r="K610" s="76">
        <v>2</v>
      </c>
      <c r="L610" s="118">
        <v>1672642</v>
      </c>
      <c r="M610" s="118">
        <v>5328144</v>
      </c>
      <c r="N610" s="118" t="s">
        <v>8691</v>
      </c>
      <c r="O610" s="312" t="s">
        <v>2090</v>
      </c>
      <c r="P610" s="312" t="s">
        <v>419</v>
      </c>
      <c r="Q610" s="118" t="s">
        <v>8822</v>
      </c>
      <c r="R610" s="571" t="s">
        <v>4329</v>
      </c>
      <c r="S610" s="68" t="s">
        <v>10</v>
      </c>
      <c r="T610" s="892" t="s">
        <v>4524</v>
      </c>
      <c r="U610" s="45" t="s">
        <v>8687</v>
      </c>
      <c r="V610" s="46" t="s">
        <v>9219</v>
      </c>
      <c r="W610" s="46" t="s">
        <v>37</v>
      </c>
      <c r="X610" s="47">
        <v>44400</v>
      </c>
      <c r="Y610" s="46"/>
      <c r="Z610" s="365"/>
      <c r="AA610" s="1107"/>
    </row>
    <row r="611" spans="1:27" ht="39" x14ac:dyDescent="0.25">
      <c r="A611" s="488"/>
      <c r="B611" s="131"/>
      <c r="C611" s="75"/>
      <c r="D611" s="568"/>
      <c r="E611" s="568"/>
      <c r="F611" s="143"/>
      <c r="G611" s="75"/>
      <c r="H611" s="75"/>
      <c r="I611" s="875"/>
      <c r="J611" s="188">
        <v>5406</v>
      </c>
      <c r="K611" s="76">
        <v>3</v>
      </c>
      <c r="L611" s="118">
        <v>1672608</v>
      </c>
      <c r="M611" s="118">
        <v>5328213</v>
      </c>
      <c r="N611" s="118" t="s">
        <v>8692</v>
      </c>
      <c r="O611" s="312" t="s">
        <v>2090</v>
      </c>
      <c r="P611" s="312" t="s">
        <v>419</v>
      </c>
      <c r="Q611" s="118" t="s">
        <v>8823</v>
      </c>
      <c r="R611" s="571" t="s">
        <v>4329</v>
      </c>
      <c r="S611" s="68" t="s">
        <v>10</v>
      </c>
      <c r="T611" s="892" t="s">
        <v>8693</v>
      </c>
      <c r="U611" s="45" t="s">
        <v>8687</v>
      </c>
      <c r="V611" s="46" t="s">
        <v>9219</v>
      </c>
      <c r="W611" s="46" t="s">
        <v>37</v>
      </c>
      <c r="X611" s="47">
        <v>44400</v>
      </c>
      <c r="Y611" s="46"/>
      <c r="Z611" s="365"/>
      <c r="AA611" s="1107"/>
    </row>
    <row r="612" spans="1:27" ht="39" x14ac:dyDescent="0.25">
      <c r="A612" s="488"/>
      <c r="B612" s="131"/>
      <c r="C612" s="75"/>
      <c r="D612" s="568"/>
      <c r="E612" s="568"/>
      <c r="F612" s="143"/>
      <c r="G612" s="75"/>
      <c r="H612" s="75"/>
      <c r="I612" s="875"/>
      <c r="J612" s="188">
        <v>5407</v>
      </c>
      <c r="K612" s="76">
        <v>3</v>
      </c>
      <c r="L612" s="118">
        <v>1672607</v>
      </c>
      <c r="M612" s="118">
        <v>5328216</v>
      </c>
      <c r="N612" s="118" t="s">
        <v>8692</v>
      </c>
      <c r="O612" s="312" t="s">
        <v>2090</v>
      </c>
      <c r="P612" s="312" t="s">
        <v>419</v>
      </c>
      <c r="Q612" s="118" t="s">
        <v>8823</v>
      </c>
      <c r="R612" s="571" t="s">
        <v>4329</v>
      </c>
      <c r="S612" s="68" t="s">
        <v>10</v>
      </c>
      <c r="T612" s="892" t="s">
        <v>8202</v>
      </c>
      <c r="U612" s="45" t="s">
        <v>8687</v>
      </c>
      <c r="V612" s="46" t="s">
        <v>9219</v>
      </c>
      <c r="W612" s="46" t="s">
        <v>37</v>
      </c>
      <c r="X612" s="47">
        <v>44400</v>
      </c>
      <c r="Y612" s="46"/>
      <c r="Z612" s="365"/>
      <c r="AA612" s="1107"/>
    </row>
    <row r="613" spans="1:27" ht="39" x14ac:dyDescent="0.25">
      <c r="A613" s="488"/>
      <c r="B613" s="131"/>
      <c r="C613" s="75"/>
      <c r="D613" s="568"/>
      <c r="E613" s="568"/>
      <c r="F613" s="143"/>
      <c r="G613" s="75"/>
      <c r="H613" s="75"/>
      <c r="I613" s="875"/>
      <c r="J613" s="188">
        <v>5408</v>
      </c>
      <c r="K613" s="76">
        <v>4</v>
      </c>
      <c r="L613" s="118">
        <v>1672605</v>
      </c>
      <c r="M613" s="118">
        <v>5328220</v>
      </c>
      <c r="N613" s="118" t="s">
        <v>8694</v>
      </c>
      <c r="O613" s="312" t="s">
        <v>2090</v>
      </c>
      <c r="P613" s="312" t="s">
        <v>419</v>
      </c>
      <c r="Q613" s="118" t="s">
        <v>8824</v>
      </c>
      <c r="R613" s="571" t="s">
        <v>4329</v>
      </c>
      <c r="S613" s="68" t="s">
        <v>10</v>
      </c>
      <c r="T613" s="892" t="s">
        <v>4131</v>
      </c>
      <c r="U613" s="45" t="s">
        <v>8687</v>
      </c>
      <c r="V613" s="46" t="s">
        <v>9219</v>
      </c>
      <c r="W613" s="46" t="s">
        <v>37</v>
      </c>
      <c r="X613" s="47">
        <v>44400</v>
      </c>
      <c r="Y613" s="46"/>
      <c r="Z613" s="365"/>
      <c r="AA613" s="1107"/>
    </row>
    <row r="614" spans="1:27" ht="39" x14ac:dyDescent="0.25">
      <c r="A614" s="488"/>
      <c r="B614" s="131"/>
      <c r="C614" s="75"/>
      <c r="D614" s="568"/>
      <c r="E614" s="568"/>
      <c r="F614" s="143"/>
      <c r="G614" s="75"/>
      <c r="H614" s="75"/>
      <c r="I614" s="875"/>
      <c r="J614" s="188">
        <v>5409</v>
      </c>
      <c r="K614" s="76">
        <v>11</v>
      </c>
      <c r="L614" s="118">
        <v>1672394</v>
      </c>
      <c r="M614" s="118">
        <v>5329010</v>
      </c>
      <c r="N614" s="118" t="s">
        <v>8695</v>
      </c>
      <c r="O614" s="312" t="s">
        <v>2090</v>
      </c>
      <c r="P614" s="312" t="s">
        <v>419</v>
      </c>
      <c r="Q614" s="118" t="s">
        <v>8825</v>
      </c>
      <c r="R614" s="571" t="s">
        <v>4329</v>
      </c>
      <c r="S614" s="68" t="s">
        <v>10</v>
      </c>
      <c r="T614" s="892" t="s">
        <v>4131</v>
      </c>
      <c r="U614" s="45" t="s">
        <v>8687</v>
      </c>
      <c r="V614" s="46" t="s">
        <v>9219</v>
      </c>
      <c r="W614" s="46" t="s">
        <v>37</v>
      </c>
      <c r="X614" s="47">
        <v>44400</v>
      </c>
      <c r="Y614" s="46"/>
      <c r="Z614" s="365"/>
      <c r="AA614" s="1107"/>
    </row>
    <row r="615" spans="1:27" ht="39" x14ac:dyDescent="0.25">
      <c r="A615" s="488"/>
      <c r="B615" s="131"/>
      <c r="C615" s="75"/>
      <c r="D615" s="568"/>
      <c r="E615" s="568"/>
      <c r="F615" s="143"/>
      <c r="G615" s="75"/>
      <c r="H615" s="75"/>
      <c r="I615" s="875"/>
      <c r="J615" s="188">
        <v>5410</v>
      </c>
      <c r="K615" s="76">
        <v>15</v>
      </c>
      <c r="L615" s="118">
        <v>1672388</v>
      </c>
      <c r="M615" s="118">
        <v>5329362</v>
      </c>
      <c r="N615" s="118" t="s">
        <v>3173</v>
      </c>
      <c r="O615" s="312" t="s">
        <v>2086</v>
      </c>
      <c r="P615" s="312">
        <v>1</v>
      </c>
      <c r="Q615" s="118" t="s">
        <v>8913</v>
      </c>
      <c r="R615" s="571" t="s">
        <v>8871</v>
      </c>
      <c r="S615" s="68" t="s">
        <v>16</v>
      </c>
      <c r="T615" s="892" t="s">
        <v>4131</v>
      </c>
      <c r="U615" s="45" t="s">
        <v>8696</v>
      </c>
      <c r="V615" s="46" t="s">
        <v>9219</v>
      </c>
      <c r="W615" s="46" t="s">
        <v>37</v>
      </c>
      <c r="X615" s="47">
        <v>44400</v>
      </c>
      <c r="Y615" s="46"/>
      <c r="Z615" s="365"/>
      <c r="AA615" s="1107"/>
    </row>
    <row r="616" spans="1:27" ht="39" x14ac:dyDescent="0.25">
      <c r="A616" s="488"/>
      <c r="B616" s="131"/>
      <c r="C616" s="75"/>
      <c r="D616" s="568"/>
      <c r="E616" s="568"/>
      <c r="F616" s="143"/>
      <c r="G616" s="75"/>
      <c r="H616" s="75"/>
      <c r="I616" s="875"/>
      <c r="J616" s="188">
        <v>5411</v>
      </c>
      <c r="K616" s="76">
        <v>28</v>
      </c>
      <c r="L616" s="118">
        <v>1672371</v>
      </c>
      <c r="M616" s="118">
        <v>5330685</v>
      </c>
      <c r="N616" s="118" t="s">
        <v>731</v>
      </c>
      <c r="O616" s="67" t="s">
        <v>2086</v>
      </c>
      <c r="P616" s="312">
        <v>1</v>
      </c>
      <c r="Q616" s="118" t="s">
        <v>8914</v>
      </c>
      <c r="R616" s="571" t="s">
        <v>8871</v>
      </c>
      <c r="S616" s="68" t="s">
        <v>16</v>
      </c>
      <c r="T616" s="892" t="s">
        <v>4131</v>
      </c>
      <c r="U616" s="45" t="s">
        <v>8687</v>
      </c>
      <c r="V616" s="46" t="s">
        <v>9219</v>
      </c>
      <c r="W616" s="46" t="s">
        <v>37</v>
      </c>
      <c r="X616" s="47">
        <v>44400</v>
      </c>
      <c r="Y616" s="46"/>
      <c r="Z616" s="365"/>
      <c r="AA616" s="1107"/>
    </row>
    <row r="617" spans="1:27" ht="26.25" x14ac:dyDescent="0.25">
      <c r="A617" s="488"/>
      <c r="B617" s="131"/>
      <c r="C617" s="75"/>
      <c r="D617" s="568"/>
      <c r="E617" s="568"/>
      <c r="F617" s="143"/>
      <c r="G617" s="75"/>
      <c r="H617" s="75"/>
      <c r="I617" s="875"/>
      <c r="J617" s="188">
        <v>5412</v>
      </c>
      <c r="K617" s="76">
        <v>32</v>
      </c>
      <c r="L617" s="118">
        <v>1672058</v>
      </c>
      <c r="M617" s="118">
        <v>5331033</v>
      </c>
      <c r="N617" s="118" t="s">
        <v>8697</v>
      </c>
      <c r="O617" s="312" t="s">
        <v>2090</v>
      </c>
      <c r="P617" s="312" t="s">
        <v>419</v>
      </c>
      <c r="Q617" s="118" t="s">
        <v>8826</v>
      </c>
      <c r="R617" s="571" t="s">
        <v>4329</v>
      </c>
      <c r="S617" s="68" t="s">
        <v>10</v>
      </c>
      <c r="T617" s="892" t="s">
        <v>4131</v>
      </c>
      <c r="U617" s="45" t="s">
        <v>8698</v>
      </c>
      <c r="V617" s="46" t="s">
        <v>9219</v>
      </c>
      <c r="W617" s="46" t="s">
        <v>37</v>
      </c>
      <c r="X617" s="47">
        <v>44400</v>
      </c>
      <c r="Y617" s="46"/>
      <c r="Z617" s="365"/>
      <c r="AA617" s="1107"/>
    </row>
    <row r="618" spans="1:27" ht="39" x14ac:dyDescent="0.25">
      <c r="A618" s="488"/>
      <c r="B618" s="131"/>
      <c r="C618" s="75"/>
      <c r="D618" s="568"/>
      <c r="E618" s="568"/>
      <c r="F618" s="143"/>
      <c r="G618" s="75"/>
      <c r="H618" s="75"/>
      <c r="I618" s="875"/>
      <c r="J618" s="188">
        <v>5413</v>
      </c>
      <c r="K618" s="76">
        <v>33</v>
      </c>
      <c r="L618" s="118">
        <v>1671983</v>
      </c>
      <c r="M618" s="118">
        <v>5331163</v>
      </c>
      <c r="N618" s="118" t="s">
        <v>8699</v>
      </c>
      <c r="O618" s="312" t="s">
        <v>2086</v>
      </c>
      <c r="P618" s="312">
        <v>1</v>
      </c>
      <c r="Q618" s="118" t="s">
        <v>8873</v>
      </c>
      <c r="R618" s="571" t="s">
        <v>8872</v>
      </c>
      <c r="S618" s="68" t="s">
        <v>16</v>
      </c>
      <c r="T618" s="892" t="s">
        <v>8412</v>
      </c>
      <c r="U618" s="45" t="s">
        <v>8696</v>
      </c>
      <c r="V618" s="46" t="s">
        <v>9219</v>
      </c>
      <c r="W618" s="46" t="s">
        <v>37</v>
      </c>
      <c r="X618" s="47">
        <v>44400</v>
      </c>
      <c r="Y618" s="46"/>
      <c r="Z618" s="365"/>
      <c r="AA618" s="1107"/>
    </row>
    <row r="619" spans="1:27" ht="26.25" x14ac:dyDescent="0.25">
      <c r="A619" s="488"/>
      <c r="B619" s="131"/>
      <c r="C619" s="75"/>
      <c r="D619" s="568"/>
      <c r="E619" s="568"/>
      <c r="F619" s="143"/>
      <c r="G619" s="75"/>
      <c r="H619" s="75"/>
      <c r="I619" s="875"/>
      <c r="J619" s="188">
        <v>5414</v>
      </c>
      <c r="K619" s="76">
        <v>34</v>
      </c>
      <c r="L619" s="118">
        <v>1672018</v>
      </c>
      <c r="M619" s="118">
        <v>5330996</v>
      </c>
      <c r="N619" s="118" t="s">
        <v>8700</v>
      </c>
      <c r="O619" s="312" t="s">
        <v>2090</v>
      </c>
      <c r="P619" s="312" t="s">
        <v>419</v>
      </c>
      <c r="Q619" s="118" t="s">
        <v>8827</v>
      </c>
      <c r="R619" s="571" t="s">
        <v>4329</v>
      </c>
      <c r="S619" s="68" t="s">
        <v>10</v>
      </c>
      <c r="T619" s="1030" t="s">
        <v>8412</v>
      </c>
      <c r="U619" s="45" t="s">
        <v>8698</v>
      </c>
      <c r="V619" s="46" t="s">
        <v>9219</v>
      </c>
      <c r="W619" s="46" t="s">
        <v>37</v>
      </c>
      <c r="X619" s="47">
        <v>44400</v>
      </c>
      <c r="Y619" s="46"/>
      <c r="Z619" s="365"/>
      <c r="AA619" s="1107"/>
    </row>
    <row r="620" spans="1:27" ht="39" x14ac:dyDescent="0.25">
      <c r="A620" s="488"/>
      <c r="B620" s="131"/>
      <c r="C620" s="75"/>
      <c r="D620" s="568"/>
      <c r="E620" s="568"/>
      <c r="F620" s="143"/>
      <c r="G620" s="75"/>
      <c r="H620" s="75"/>
      <c r="I620" s="875"/>
      <c r="J620" s="188">
        <v>5415</v>
      </c>
      <c r="K620" s="76">
        <v>35</v>
      </c>
      <c r="L620" s="118">
        <v>1671869</v>
      </c>
      <c r="M620" s="118">
        <v>5331274</v>
      </c>
      <c r="N620" s="118" t="s">
        <v>8816</v>
      </c>
      <c r="O620" s="312" t="s">
        <v>2090</v>
      </c>
      <c r="P620" s="312" t="s">
        <v>419</v>
      </c>
      <c r="Q620" s="118" t="s">
        <v>8828</v>
      </c>
      <c r="R620" s="571" t="s">
        <v>8875</v>
      </c>
      <c r="S620" s="68" t="s">
        <v>10</v>
      </c>
      <c r="T620" s="1030" t="s">
        <v>4131</v>
      </c>
      <c r="U620" s="45" t="s">
        <v>8698</v>
      </c>
      <c r="V620" s="46" t="s">
        <v>9219</v>
      </c>
      <c r="W620" s="46" t="s">
        <v>37</v>
      </c>
      <c r="X620" s="47">
        <v>44400</v>
      </c>
      <c r="Y620" s="46"/>
      <c r="Z620" s="365"/>
      <c r="AA620" s="1107"/>
    </row>
    <row r="621" spans="1:27" ht="39" x14ac:dyDescent="0.25">
      <c r="A621" s="488"/>
      <c r="B621" s="131"/>
      <c r="C621" s="75"/>
      <c r="D621" s="568"/>
      <c r="E621" s="568"/>
      <c r="F621" s="143"/>
      <c r="G621" s="75"/>
      <c r="H621" s="75"/>
      <c r="I621" s="875"/>
      <c r="J621" s="188">
        <v>5416</v>
      </c>
      <c r="K621" s="76">
        <v>24</v>
      </c>
      <c r="L621" s="118">
        <v>1671739</v>
      </c>
      <c r="M621" s="118">
        <v>5332498</v>
      </c>
      <c r="N621" s="118" t="s">
        <v>8869</v>
      </c>
      <c r="O621" s="67" t="s">
        <v>194</v>
      </c>
      <c r="P621" s="312">
        <v>1</v>
      </c>
      <c r="Q621" s="118" t="s">
        <v>8915</v>
      </c>
      <c r="R621" s="571" t="s">
        <v>8871</v>
      </c>
      <c r="S621" s="68" t="s">
        <v>10</v>
      </c>
      <c r="T621" s="1030" t="s">
        <v>8702</v>
      </c>
      <c r="U621" s="45" t="s">
        <v>8696</v>
      </c>
      <c r="V621" s="46" t="s">
        <v>9219</v>
      </c>
      <c r="W621" s="46" t="s">
        <v>37</v>
      </c>
      <c r="X621" s="47">
        <v>44400</v>
      </c>
      <c r="Y621" s="46"/>
      <c r="Z621" s="365"/>
      <c r="AA621" s="1107"/>
    </row>
    <row r="622" spans="1:27" ht="39" x14ac:dyDescent="0.25">
      <c r="A622" s="488"/>
      <c r="B622" s="131"/>
      <c r="C622" s="75"/>
      <c r="D622" s="568"/>
      <c r="E622" s="568"/>
      <c r="F622" s="143"/>
      <c r="G622" s="75"/>
      <c r="H622" s="75"/>
      <c r="I622" s="875"/>
      <c r="J622" s="188">
        <v>5417</v>
      </c>
      <c r="K622" s="76">
        <v>47</v>
      </c>
      <c r="L622" s="118">
        <v>1671657</v>
      </c>
      <c r="M622" s="118">
        <v>5332734</v>
      </c>
      <c r="N622" s="118" t="s">
        <v>8866</v>
      </c>
      <c r="O622" s="312" t="s">
        <v>2090</v>
      </c>
      <c r="P622" s="312" t="s">
        <v>419</v>
      </c>
      <c r="Q622" s="118" t="s">
        <v>8867</v>
      </c>
      <c r="R622" s="571" t="s">
        <v>4329</v>
      </c>
      <c r="S622" s="68" t="s">
        <v>10</v>
      </c>
      <c r="T622" s="1030" t="s">
        <v>4131</v>
      </c>
      <c r="U622" s="45" t="s">
        <v>8703</v>
      </c>
      <c r="V622" s="46" t="s">
        <v>9219</v>
      </c>
      <c r="W622" s="46" t="s">
        <v>37</v>
      </c>
      <c r="X622" s="47">
        <v>44400</v>
      </c>
      <c r="Y622" s="46"/>
      <c r="Z622" s="365"/>
      <c r="AA622" s="1107"/>
    </row>
    <row r="623" spans="1:27" ht="39" x14ac:dyDescent="0.25">
      <c r="A623" s="488"/>
      <c r="B623" s="131"/>
      <c r="C623" s="75"/>
      <c r="D623" s="568"/>
      <c r="E623" s="568"/>
      <c r="F623" s="143"/>
      <c r="G623" s="75"/>
      <c r="H623" s="75"/>
      <c r="I623" s="875"/>
      <c r="J623" s="188">
        <v>5418</v>
      </c>
      <c r="K623" s="76">
        <v>51</v>
      </c>
      <c r="L623" s="118">
        <v>1671661</v>
      </c>
      <c r="M623" s="118">
        <v>5332928</v>
      </c>
      <c r="N623" s="118" t="s">
        <v>8704</v>
      </c>
      <c r="O623" s="312" t="s">
        <v>2090</v>
      </c>
      <c r="P623" s="312" t="s">
        <v>419</v>
      </c>
      <c r="Q623" s="118" t="s">
        <v>8829</v>
      </c>
      <c r="R623" s="571" t="s">
        <v>4329</v>
      </c>
      <c r="S623" s="68" t="s">
        <v>10</v>
      </c>
      <c r="T623" s="1030" t="s">
        <v>8705</v>
      </c>
      <c r="U623" s="45" t="s">
        <v>8696</v>
      </c>
      <c r="V623" s="46" t="s">
        <v>9219</v>
      </c>
      <c r="W623" s="46" t="s">
        <v>37</v>
      </c>
      <c r="X623" s="47">
        <v>44400</v>
      </c>
      <c r="Y623" s="46"/>
      <c r="Z623" s="365"/>
      <c r="AA623" s="1107"/>
    </row>
    <row r="624" spans="1:27" ht="39" x14ac:dyDescent="0.25">
      <c r="A624" s="488"/>
      <c r="B624" s="131"/>
      <c r="C624" s="75"/>
      <c r="D624" s="568"/>
      <c r="E624" s="568"/>
      <c r="F624" s="143"/>
      <c r="G624" s="75"/>
      <c r="H624" s="75"/>
      <c r="I624" s="875"/>
      <c r="J624" s="188">
        <v>5419</v>
      </c>
      <c r="K624" s="76">
        <v>51.5</v>
      </c>
      <c r="L624" s="118">
        <v>1671652</v>
      </c>
      <c r="M624" s="118">
        <v>5332965</v>
      </c>
      <c r="N624" s="118" t="s">
        <v>8706</v>
      </c>
      <c r="O624" s="312" t="s">
        <v>2090</v>
      </c>
      <c r="P624" s="312" t="s">
        <v>419</v>
      </c>
      <c r="Q624" s="118" t="s">
        <v>8818</v>
      </c>
      <c r="R624" s="571" t="s">
        <v>4329</v>
      </c>
      <c r="S624" s="68" t="s">
        <v>10</v>
      </c>
      <c r="T624" s="1030" t="s">
        <v>8707</v>
      </c>
      <c r="U624" s="45" t="s">
        <v>8696</v>
      </c>
      <c r="V624" s="46" t="s">
        <v>9219</v>
      </c>
      <c r="W624" s="46" t="s">
        <v>37</v>
      </c>
      <c r="X624" s="47">
        <v>44400</v>
      </c>
      <c r="Y624" s="46"/>
      <c r="Z624" s="365"/>
      <c r="AA624" s="1107"/>
    </row>
    <row r="625" spans="1:27" ht="39" x14ac:dyDescent="0.25">
      <c r="A625" s="488"/>
      <c r="B625" s="131"/>
      <c r="C625" s="75"/>
      <c r="D625" s="568"/>
      <c r="E625" s="568"/>
      <c r="F625" s="143"/>
      <c r="G625" s="75"/>
      <c r="H625" s="75"/>
      <c r="I625" s="875"/>
      <c r="J625" s="188">
        <v>5420</v>
      </c>
      <c r="K625" s="76">
        <v>52</v>
      </c>
      <c r="L625" s="118">
        <v>1671627</v>
      </c>
      <c r="M625" s="118">
        <v>5332976</v>
      </c>
      <c r="N625" s="118" t="s">
        <v>8708</v>
      </c>
      <c r="O625" s="312" t="s">
        <v>2090</v>
      </c>
      <c r="P625" s="312" t="s">
        <v>419</v>
      </c>
      <c r="Q625" s="118" t="s">
        <v>8830</v>
      </c>
      <c r="R625" s="571" t="s">
        <v>4329</v>
      </c>
      <c r="S625" s="68" t="s">
        <v>10</v>
      </c>
      <c r="T625" s="1030" t="s">
        <v>8412</v>
      </c>
      <c r="U625" s="45" t="s">
        <v>8696</v>
      </c>
      <c r="V625" s="46" t="s">
        <v>9219</v>
      </c>
      <c r="W625" s="46" t="s">
        <v>37</v>
      </c>
      <c r="X625" s="47">
        <v>44400</v>
      </c>
      <c r="Y625" s="46"/>
      <c r="Z625" s="365"/>
      <c r="AA625" s="1107"/>
    </row>
    <row r="626" spans="1:27" ht="39" x14ac:dyDescent="0.25">
      <c r="A626" s="488"/>
      <c r="B626" s="131"/>
      <c r="C626" s="75"/>
      <c r="D626" s="568"/>
      <c r="E626" s="568"/>
      <c r="F626" s="143"/>
      <c r="G626" s="75"/>
      <c r="H626" s="75"/>
      <c r="I626" s="875"/>
      <c r="J626" s="188">
        <v>5421</v>
      </c>
      <c r="K626" s="76">
        <v>52</v>
      </c>
      <c r="L626" s="118">
        <v>1671625</v>
      </c>
      <c r="M626" s="118">
        <v>5333010</v>
      </c>
      <c r="N626" s="118" t="s">
        <v>8709</v>
      </c>
      <c r="O626" s="312" t="s">
        <v>2090</v>
      </c>
      <c r="P626" s="312" t="s">
        <v>419</v>
      </c>
      <c r="Q626" s="118" t="s">
        <v>8831</v>
      </c>
      <c r="R626" s="571" t="s">
        <v>8874</v>
      </c>
      <c r="S626" s="68" t="s">
        <v>10</v>
      </c>
      <c r="T626" s="1030" t="s">
        <v>4131</v>
      </c>
      <c r="U626" s="45" t="s">
        <v>8696</v>
      </c>
      <c r="V626" s="46" t="s">
        <v>9219</v>
      </c>
      <c r="W626" s="46" t="s">
        <v>37</v>
      </c>
      <c r="X626" s="47">
        <v>44400</v>
      </c>
      <c r="Y626" s="46"/>
      <c r="Z626" s="365"/>
      <c r="AA626" s="1107"/>
    </row>
    <row r="627" spans="1:27" ht="39" x14ac:dyDescent="0.25">
      <c r="A627" s="488"/>
      <c r="B627" s="131"/>
      <c r="C627" s="75"/>
      <c r="D627" s="568"/>
      <c r="E627" s="568"/>
      <c r="F627" s="143"/>
      <c r="G627" s="75"/>
      <c r="H627" s="75"/>
      <c r="I627" s="875"/>
      <c r="J627" s="188">
        <v>5422</v>
      </c>
      <c r="K627" s="76">
        <v>53</v>
      </c>
      <c r="L627" s="118">
        <v>1671598</v>
      </c>
      <c r="M627" s="118">
        <v>5333131</v>
      </c>
      <c r="N627" s="118" t="s">
        <v>8710</v>
      </c>
      <c r="O627" s="312" t="s">
        <v>2090</v>
      </c>
      <c r="P627" s="312" t="s">
        <v>419</v>
      </c>
      <c r="Q627" s="118" t="s">
        <v>8832</v>
      </c>
      <c r="R627" s="571" t="s">
        <v>4329</v>
      </c>
      <c r="S627" s="68" t="s">
        <v>10</v>
      </c>
      <c r="T627" s="1030" t="s">
        <v>8711</v>
      </c>
      <c r="U627" s="45" t="s">
        <v>8696</v>
      </c>
      <c r="V627" s="46" t="s">
        <v>9219</v>
      </c>
      <c r="W627" s="46" t="s">
        <v>37</v>
      </c>
      <c r="X627" s="47">
        <v>44400</v>
      </c>
      <c r="Y627" s="46"/>
      <c r="Z627" s="365"/>
      <c r="AA627" s="1107"/>
    </row>
    <row r="628" spans="1:27" ht="39" x14ac:dyDescent="0.25">
      <c r="A628" s="488"/>
      <c r="B628" s="131"/>
      <c r="C628" s="75"/>
      <c r="D628" s="568"/>
      <c r="E628" s="568"/>
      <c r="F628" s="143"/>
      <c r="G628" s="75"/>
      <c r="H628" s="75"/>
      <c r="I628" s="875"/>
      <c r="J628" s="188">
        <v>5423</v>
      </c>
      <c r="K628" s="76">
        <v>55</v>
      </c>
      <c r="L628" s="118">
        <v>1671554</v>
      </c>
      <c r="M628" s="118">
        <v>5333262</v>
      </c>
      <c r="N628" s="118" t="s">
        <v>8712</v>
      </c>
      <c r="O628" s="312" t="s">
        <v>2090</v>
      </c>
      <c r="P628" s="312" t="s">
        <v>419</v>
      </c>
      <c r="Q628" s="118" t="s">
        <v>8833</v>
      </c>
      <c r="R628" s="571" t="s">
        <v>4329</v>
      </c>
      <c r="S628" s="68" t="s">
        <v>10</v>
      </c>
      <c r="T628" s="1030" t="s">
        <v>8713</v>
      </c>
      <c r="U628" s="45" t="s">
        <v>8687</v>
      </c>
      <c r="V628" s="46" t="s">
        <v>9219</v>
      </c>
      <c r="W628" s="46" t="s">
        <v>37</v>
      </c>
      <c r="X628" s="47">
        <v>44400</v>
      </c>
      <c r="Y628" s="46"/>
      <c r="Z628" s="365"/>
      <c r="AA628" s="1107"/>
    </row>
    <row r="629" spans="1:27" ht="39" x14ac:dyDescent="0.25">
      <c r="A629" s="488"/>
      <c r="B629" s="131"/>
      <c r="C629" s="75"/>
      <c r="D629" s="568"/>
      <c r="E629" s="568"/>
      <c r="F629" s="143"/>
      <c r="G629" s="75"/>
      <c r="H629" s="75"/>
      <c r="I629" s="875"/>
      <c r="J629" s="188">
        <v>5424</v>
      </c>
      <c r="K629" s="76">
        <v>56</v>
      </c>
      <c r="L629" s="118">
        <v>1671554</v>
      </c>
      <c r="M629" s="118">
        <v>5333276</v>
      </c>
      <c r="N629" s="118" t="s">
        <v>8714</v>
      </c>
      <c r="O629" s="312" t="s">
        <v>2090</v>
      </c>
      <c r="P629" s="312" t="s">
        <v>419</v>
      </c>
      <c r="Q629" s="118" t="s">
        <v>8834</v>
      </c>
      <c r="R629" s="571" t="s">
        <v>8874</v>
      </c>
      <c r="S629" s="68" t="s">
        <v>10</v>
      </c>
      <c r="T629" s="1030" t="s">
        <v>8715</v>
      </c>
      <c r="U629" s="45" t="s">
        <v>8696</v>
      </c>
      <c r="V629" s="46" t="s">
        <v>9219</v>
      </c>
      <c r="W629" s="46" t="s">
        <v>37</v>
      </c>
      <c r="X629" s="47">
        <v>44400</v>
      </c>
      <c r="Y629" s="46"/>
      <c r="Z629" s="365"/>
      <c r="AA629" s="1107"/>
    </row>
    <row r="630" spans="1:27" ht="39" x14ac:dyDescent="0.25">
      <c r="A630" s="488"/>
      <c r="B630" s="131"/>
      <c r="C630" s="75"/>
      <c r="D630" s="568"/>
      <c r="E630" s="568"/>
      <c r="F630" s="143"/>
      <c r="G630" s="75"/>
      <c r="H630" s="75"/>
      <c r="I630" s="875"/>
      <c r="J630" s="188">
        <v>5425</v>
      </c>
      <c r="K630" s="76">
        <v>60</v>
      </c>
      <c r="L630" s="118">
        <v>1671618</v>
      </c>
      <c r="M630" s="118">
        <v>5333749</v>
      </c>
      <c r="N630" s="118" t="s">
        <v>8716</v>
      </c>
      <c r="O630" s="312" t="s">
        <v>2090</v>
      </c>
      <c r="P630" s="312" t="s">
        <v>419</v>
      </c>
      <c r="Q630" s="118" t="s">
        <v>8835</v>
      </c>
      <c r="R630" s="571" t="s">
        <v>4329</v>
      </c>
      <c r="S630" s="68" t="s">
        <v>10</v>
      </c>
      <c r="T630" s="1030" t="s">
        <v>4131</v>
      </c>
      <c r="U630" s="45" t="s">
        <v>8687</v>
      </c>
      <c r="V630" s="46" t="s">
        <v>9219</v>
      </c>
      <c r="W630" s="46" t="s">
        <v>37</v>
      </c>
      <c r="X630" s="47">
        <v>44400</v>
      </c>
      <c r="Y630" s="46"/>
      <c r="Z630" s="365"/>
      <c r="AA630" s="1107"/>
    </row>
    <row r="631" spans="1:27" ht="39" x14ac:dyDescent="0.25">
      <c r="A631" s="488"/>
      <c r="B631" s="131"/>
      <c r="C631" s="75"/>
      <c r="D631" s="568"/>
      <c r="E631" s="568"/>
      <c r="F631" s="143"/>
      <c r="G631" s="75"/>
      <c r="H631" s="75"/>
      <c r="I631" s="875"/>
      <c r="J631" s="188">
        <v>5426</v>
      </c>
      <c r="K631" s="76">
        <v>62</v>
      </c>
      <c r="L631" s="118">
        <v>1671636</v>
      </c>
      <c r="M631" s="118">
        <v>5333980</v>
      </c>
      <c r="N631" s="118" t="s">
        <v>8717</v>
      </c>
      <c r="O631" s="312" t="s">
        <v>2090</v>
      </c>
      <c r="P631" s="312" t="s">
        <v>419</v>
      </c>
      <c r="Q631" s="118" t="s">
        <v>8836</v>
      </c>
      <c r="R631" s="571" t="s">
        <v>4329</v>
      </c>
      <c r="S631" s="68" t="s">
        <v>10</v>
      </c>
      <c r="T631" s="1030" t="s">
        <v>8363</v>
      </c>
      <c r="U631" s="45" t="s">
        <v>8687</v>
      </c>
      <c r="V631" s="46" t="s">
        <v>9219</v>
      </c>
      <c r="W631" s="46" t="s">
        <v>37</v>
      </c>
      <c r="X631" s="47">
        <v>44400</v>
      </c>
      <c r="Y631" s="46"/>
      <c r="Z631" s="365"/>
      <c r="AA631" s="1107"/>
    </row>
    <row r="632" spans="1:27" ht="39" x14ac:dyDescent="0.25">
      <c r="A632" s="488"/>
      <c r="B632" s="131"/>
      <c r="C632" s="75"/>
      <c r="D632" s="568"/>
      <c r="E632" s="568"/>
      <c r="F632" s="143"/>
      <c r="G632" s="75"/>
      <c r="H632" s="75"/>
      <c r="I632" s="875"/>
      <c r="J632" s="188">
        <v>5427</v>
      </c>
      <c r="K632" s="76">
        <v>63</v>
      </c>
      <c r="L632" s="118">
        <v>1671675</v>
      </c>
      <c r="M632" s="118">
        <v>5334042</v>
      </c>
      <c r="N632" s="118" t="s">
        <v>8718</v>
      </c>
      <c r="O632" s="312" t="s">
        <v>2090</v>
      </c>
      <c r="P632" s="312" t="s">
        <v>419</v>
      </c>
      <c r="Q632" s="118" t="s">
        <v>8837</v>
      </c>
      <c r="R632" s="571" t="s">
        <v>4329</v>
      </c>
      <c r="S632" s="68" t="s">
        <v>10</v>
      </c>
      <c r="T632" s="1030" t="s">
        <v>8363</v>
      </c>
      <c r="U632" s="45" t="s">
        <v>8696</v>
      </c>
      <c r="V632" s="46" t="s">
        <v>9219</v>
      </c>
      <c r="W632" s="46" t="s">
        <v>37</v>
      </c>
      <c r="X632" s="47">
        <v>44400</v>
      </c>
      <c r="Y632" s="46"/>
      <c r="Z632" s="365"/>
      <c r="AA632" s="1107"/>
    </row>
    <row r="633" spans="1:27" ht="39" x14ac:dyDescent="0.25">
      <c r="A633" s="488"/>
      <c r="B633" s="131"/>
      <c r="C633" s="75"/>
      <c r="D633" s="568"/>
      <c r="E633" s="568"/>
      <c r="F633" s="143"/>
      <c r="G633" s="75"/>
      <c r="H633" s="75"/>
      <c r="I633" s="875"/>
      <c r="J633" s="188">
        <v>5428</v>
      </c>
      <c r="K633" s="76">
        <v>67</v>
      </c>
      <c r="L633" s="118">
        <v>1671790</v>
      </c>
      <c r="M633" s="118">
        <v>5334431</v>
      </c>
      <c r="N633" s="118" t="s">
        <v>8719</v>
      </c>
      <c r="O633" s="312" t="s">
        <v>2090</v>
      </c>
      <c r="P633" s="312" t="s">
        <v>419</v>
      </c>
      <c r="Q633" s="118" t="s">
        <v>8838</v>
      </c>
      <c r="R633" s="571" t="s">
        <v>8874</v>
      </c>
      <c r="S633" s="68" t="s">
        <v>10</v>
      </c>
      <c r="T633" s="1030" t="s">
        <v>8412</v>
      </c>
      <c r="U633" s="45" t="s">
        <v>8687</v>
      </c>
      <c r="V633" s="46" t="s">
        <v>9219</v>
      </c>
      <c r="W633" s="46" t="s">
        <v>37</v>
      </c>
      <c r="X633" s="47">
        <v>44400</v>
      </c>
      <c r="Y633" s="46"/>
      <c r="Z633" s="365"/>
      <c r="AA633" s="1107"/>
    </row>
    <row r="634" spans="1:27" ht="39" x14ac:dyDescent="0.25">
      <c r="A634" s="488"/>
      <c r="B634" s="131"/>
      <c r="C634" s="75"/>
      <c r="D634" s="568"/>
      <c r="E634" s="568"/>
      <c r="F634" s="143"/>
      <c r="G634" s="75"/>
      <c r="H634" s="75"/>
      <c r="I634" s="875"/>
      <c r="J634" s="188">
        <v>5429</v>
      </c>
      <c r="K634" s="76">
        <v>67</v>
      </c>
      <c r="L634" s="118">
        <v>1671807</v>
      </c>
      <c r="M634" s="118">
        <v>5334438</v>
      </c>
      <c r="N634" s="118" t="s">
        <v>8720</v>
      </c>
      <c r="O634" s="312" t="s">
        <v>2090</v>
      </c>
      <c r="P634" s="312" t="s">
        <v>419</v>
      </c>
      <c r="Q634" s="118" t="s">
        <v>8839</v>
      </c>
      <c r="R634" s="571" t="s">
        <v>8874</v>
      </c>
      <c r="S634" s="68" t="s">
        <v>10</v>
      </c>
      <c r="T634" s="1030" t="s">
        <v>4131</v>
      </c>
      <c r="U634" s="45" t="s">
        <v>8687</v>
      </c>
      <c r="V634" s="46" t="s">
        <v>9219</v>
      </c>
      <c r="W634" s="46" t="s">
        <v>37</v>
      </c>
      <c r="X634" s="47">
        <v>44400</v>
      </c>
      <c r="Y634" s="46"/>
      <c r="Z634" s="365"/>
      <c r="AA634" s="1107"/>
    </row>
    <row r="635" spans="1:27" ht="39" x14ac:dyDescent="0.25">
      <c r="A635" s="488"/>
      <c r="B635" s="131"/>
      <c r="C635" s="75"/>
      <c r="D635" s="568"/>
      <c r="E635" s="568"/>
      <c r="F635" s="143"/>
      <c r="G635" s="75"/>
      <c r="H635" s="75"/>
      <c r="I635" s="875"/>
      <c r="J635" s="188">
        <v>5430</v>
      </c>
      <c r="K635" s="76">
        <v>69</v>
      </c>
      <c r="L635" s="118">
        <v>1671776</v>
      </c>
      <c r="M635" s="118">
        <v>5334631</v>
      </c>
      <c r="N635" s="118" t="s">
        <v>8721</v>
      </c>
      <c r="O635" s="312" t="s">
        <v>2090</v>
      </c>
      <c r="P635" s="312" t="s">
        <v>419</v>
      </c>
      <c r="Q635" s="118" t="s">
        <v>8840</v>
      </c>
      <c r="R635" s="571" t="s">
        <v>4329</v>
      </c>
      <c r="S635" s="68" t="s">
        <v>10</v>
      </c>
      <c r="T635" s="1030" t="s">
        <v>8722</v>
      </c>
      <c r="U635" s="45" t="s">
        <v>8687</v>
      </c>
      <c r="V635" s="46" t="s">
        <v>9219</v>
      </c>
      <c r="W635" s="46" t="s">
        <v>37</v>
      </c>
      <c r="X635" s="47">
        <v>44400</v>
      </c>
      <c r="Y635" s="46"/>
      <c r="Z635" s="365"/>
      <c r="AA635" s="1107"/>
    </row>
    <row r="636" spans="1:27" ht="39" x14ac:dyDescent="0.25">
      <c r="A636" s="488"/>
      <c r="B636" s="131"/>
      <c r="C636" s="75"/>
      <c r="D636" s="568"/>
      <c r="E636" s="568"/>
      <c r="F636" s="143"/>
      <c r="G636" s="75"/>
      <c r="H636" s="75"/>
      <c r="I636" s="875"/>
      <c r="J636" s="188">
        <v>5431</v>
      </c>
      <c r="K636" s="76">
        <v>72</v>
      </c>
      <c r="L636" s="118">
        <v>1671780</v>
      </c>
      <c r="M636" s="118">
        <v>5334967</v>
      </c>
      <c r="N636" s="118" t="s">
        <v>8723</v>
      </c>
      <c r="O636" s="312" t="s">
        <v>2090</v>
      </c>
      <c r="P636" s="312" t="s">
        <v>419</v>
      </c>
      <c r="Q636" s="118" t="s">
        <v>8841</v>
      </c>
      <c r="R636" s="571" t="s">
        <v>4329</v>
      </c>
      <c r="S636" s="68" t="s">
        <v>10</v>
      </c>
      <c r="T636" s="1030" t="s">
        <v>8363</v>
      </c>
      <c r="U636" s="45" t="s">
        <v>8696</v>
      </c>
      <c r="V636" s="46" t="s">
        <v>9219</v>
      </c>
      <c r="W636" s="46" t="s">
        <v>37</v>
      </c>
      <c r="X636" s="47">
        <v>44400</v>
      </c>
      <c r="Y636" s="46"/>
      <c r="Z636" s="365"/>
      <c r="AA636" s="1107"/>
    </row>
    <row r="637" spans="1:27" ht="39" x14ac:dyDescent="0.25">
      <c r="A637" s="488"/>
      <c r="B637" s="131"/>
      <c r="C637" s="75"/>
      <c r="D637" s="568"/>
      <c r="E637" s="568"/>
      <c r="F637" s="143"/>
      <c r="G637" s="75"/>
      <c r="H637" s="75"/>
      <c r="I637" s="875"/>
      <c r="J637" s="188">
        <v>5432</v>
      </c>
      <c r="K637" s="76">
        <v>75</v>
      </c>
      <c r="L637" s="118">
        <v>1671671</v>
      </c>
      <c r="M637" s="118">
        <v>5335245</v>
      </c>
      <c r="N637" s="118" t="s">
        <v>8724</v>
      </c>
      <c r="O637" s="312" t="s">
        <v>2090</v>
      </c>
      <c r="P637" s="312" t="s">
        <v>419</v>
      </c>
      <c r="Q637" s="118" t="s">
        <v>8842</v>
      </c>
      <c r="R637" s="571" t="s">
        <v>4329</v>
      </c>
      <c r="S637" s="68" t="s">
        <v>10</v>
      </c>
      <c r="T637" s="1030" t="s">
        <v>8725</v>
      </c>
      <c r="U637" s="45" t="s">
        <v>8696</v>
      </c>
      <c r="V637" s="46" t="s">
        <v>9219</v>
      </c>
      <c r="W637" s="46" t="s">
        <v>37</v>
      </c>
      <c r="X637" s="47">
        <v>44400</v>
      </c>
      <c r="Y637" s="46"/>
      <c r="Z637" s="365"/>
      <c r="AA637" s="1107"/>
    </row>
    <row r="638" spans="1:27" ht="39" x14ac:dyDescent="0.25">
      <c r="A638" s="488"/>
      <c r="B638" s="131"/>
      <c r="C638" s="75"/>
      <c r="D638" s="568"/>
      <c r="E638" s="568"/>
      <c r="F638" s="143"/>
      <c r="G638" s="75"/>
      <c r="H638" s="75"/>
      <c r="I638" s="875"/>
      <c r="J638" s="188">
        <v>5433</v>
      </c>
      <c r="K638" s="76">
        <v>78</v>
      </c>
      <c r="L638" s="118">
        <v>1671569</v>
      </c>
      <c r="M638" s="118">
        <v>5335533</v>
      </c>
      <c r="N638" s="118" t="s">
        <v>8726</v>
      </c>
      <c r="O638" s="312" t="s">
        <v>2090</v>
      </c>
      <c r="P638" s="312" t="s">
        <v>419</v>
      </c>
      <c r="Q638" s="118" t="s">
        <v>8843</v>
      </c>
      <c r="R638" s="571" t="s">
        <v>4329</v>
      </c>
      <c r="S638" s="68" t="s">
        <v>10</v>
      </c>
      <c r="T638" s="1030" t="s">
        <v>8727</v>
      </c>
      <c r="U638" s="45" t="s">
        <v>8696</v>
      </c>
      <c r="V638" s="46" t="s">
        <v>9219</v>
      </c>
      <c r="W638" s="46" t="s">
        <v>37</v>
      </c>
      <c r="X638" s="47">
        <v>44400</v>
      </c>
      <c r="Y638" s="46"/>
      <c r="Z638" s="365"/>
      <c r="AA638" s="1107"/>
    </row>
    <row r="639" spans="1:27" ht="39" x14ac:dyDescent="0.25">
      <c r="A639" s="488"/>
      <c r="B639" s="131"/>
      <c r="C639" s="75"/>
      <c r="D639" s="568"/>
      <c r="E639" s="568"/>
      <c r="F639" s="143"/>
      <c r="G639" s="75"/>
      <c r="H639" s="75"/>
      <c r="I639" s="875"/>
      <c r="J639" s="188">
        <v>5434</v>
      </c>
      <c r="K639" s="76">
        <v>80</v>
      </c>
      <c r="L639" s="118">
        <v>1671468</v>
      </c>
      <c r="M639" s="118">
        <v>5335709</v>
      </c>
      <c r="N639" s="118" t="s">
        <v>8728</v>
      </c>
      <c r="O639" s="312" t="s">
        <v>2090</v>
      </c>
      <c r="P639" s="312" t="s">
        <v>419</v>
      </c>
      <c r="Q639" s="118" t="s">
        <v>8844</v>
      </c>
      <c r="R639" s="571" t="s">
        <v>4329</v>
      </c>
      <c r="S639" s="68" t="s">
        <v>10</v>
      </c>
      <c r="T639" s="1030" t="s">
        <v>8727</v>
      </c>
      <c r="U639" s="45" t="s">
        <v>8696</v>
      </c>
      <c r="V639" s="46" t="s">
        <v>9219</v>
      </c>
      <c r="W639" s="46" t="s">
        <v>37</v>
      </c>
      <c r="X639" s="47">
        <v>44400</v>
      </c>
      <c r="Y639" s="46"/>
      <c r="Z639" s="365"/>
      <c r="AA639" s="1107"/>
    </row>
    <row r="640" spans="1:27" ht="39" x14ac:dyDescent="0.25">
      <c r="A640" s="488"/>
      <c r="B640" s="131"/>
      <c r="C640" s="75"/>
      <c r="D640" s="568"/>
      <c r="E640" s="568"/>
      <c r="F640" s="143"/>
      <c r="G640" s="75"/>
      <c r="H640" s="75"/>
      <c r="I640" s="875"/>
      <c r="J640" s="188">
        <v>5435</v>
      </c>
      <c r="K640" s="76">
        <v>85</v>
      </c>
      <c r="L640" s="118">
        <v>1671177</v>
      </c>
      <c r="M640" s="118">
        <v>5336135</v>
      </c>
      <c r="N640" s="118" t="s">
        <v>8729</v>
      </c>
      <c r="O640" s="312" t="s">
        <v>2090</v>
      </c>
      <c r="P640" s="312" t="s">
        <v>419</v>
      </c>
      <c r="Q640" s="118" t="s">
        <v>8845</v>
      </c>
      <c r="R640" s="571" t="s">
        <v>4329</v>
      </c>
      <c r="S640" s="68" t="s">
        <v>10</v>
      </c>
      <c r="T640" s="1030" t="s">
        <v>8727</v>
      </c>
      <c r="U640" s="45" t="s">
        <v>8696</v>
      </c>
      <c r="V640" s="46" t="s">
        <v>9219</v>
      </c>
      <c r="W640" s="46" t="s">
        <v>37</v>
      </c>
      <c r="X640" s="47">
        <v>44400</v>
      </c>
      <c r="Y640" s="46"/>
      <c r="Z640" s="365"/>
      <c r="AA640" s="1107"/>
    </row>
    <row r="641" spans="1:27" ht="39" x14ac:dyDescent="0.25">
      <c r="A641" s="488"/>
      <c r="B641" s="131"/>
      <c r="C641" s="75"/>
      <c r="D641" s="568"/>
      <c r="E641" s="568"/>
      <c r="F641" s="143"/>
      <c r="G641" s="75"/>
      <c r="H641" s="75"/>
      <c r="I641" s="875"/>
      <c r="J641" s="188">
        <v>5436</v>
      </c>
      <c r="K641" s="76">
        <v>91</v>
      </c>
      <c r="L641" s="118">
        <v>1670748</v>
      </c>
      <c r="M641" s="118">
        <v>5336605</v>
      </c>
      <c r="N641" s="118" t="s">
        <v>8730</v>
      </c>
      <c r="O641" s="312" t="s">
        <v>2090</v>
      </c>
      <c r="P641" s="312" t="s">
        <v>419</v>
      </c>
      <c r="Q641" s="118" t="s">
        <v>8846</v>
      </c>
      <c r="R641" s="571" t="s">
        <v>4329</v>
      </c>
      <c r="S641" s="68" t="s">
        <v>10</v>
      </c>
      <c r="T641" s="1030" t="s">
        <v>58</v>
      </c>
      <c r="U641" s="45" t="s">
        <v>8696</v>
      </c>
      <c r="V641" s="46" t="s">
        <v>9219</v>
      </c>
      <c r="W641" s="46" t="s">
        <v>37</v>
      </c>
      <c r="X641" s="47">
        <v>44400</v>
      </c>
      <c r="Y641" s="46"/>
      <c r="Z641" s="365"/>
      <c r="AA641" s="1107"/>
    </row>
    <row r="642" spans="1:27" ht="39" x14ac:dyDescent="0.25">
      <c r="A642" s="488"/>
      <c r="B642" s="131"/>
      <c r="C642" s="75"/>
      <c r="D642" s="568"/>
      <c r="E642" s="568"/>
      <c r="F642" s="143"/>
      <c r="G642" s="75"/>
      <c r="H642" s="75"/>
      <c r="I642" s="875"/>
      <c r="J642" s="188">
        <v>5437</v>
      </c>
      <c r="K642" s="76">
        <v>92</v>
      </c>
      <c r="L642" s="118">
        <v>1670765</v>
      </c>
      <c r="M642" s="118">
        <v>5336636</v>
      </c>
      <c r="N642" s="118" t="s">
        <v>8731</v>
      </c>
      <c r="O642" s="312" t="s">
        <v>2090</v>
      </c>
      <c r="P642" s="312" t="s">
        <v>419</v>
      </c>
      <c r="Q642" s="118" t="s">
        <v>8847</v>
      </c>
      <c r="R642" s="571" t="s">
        <v>4329</v>
      </c>
      <c r="S642" s="68" t="s">
        <v>10</v>
      </c>
      <c r="T642" s="1030" t="s">
        <v>4131</v>
      </c>
      <c r="U642" s="45" t="s">
        <v>8687</v>
      </c>
      <c r="V642" s="46" t="s">
        <v>9219</v>
      </c>
      <c r="W642" s="46" t="s">
        <v>37</v>
      </c>
      <c r="X642" s="47">
        <v>44400</v>
      </c>
      <c r="Y642" s="46"/>
      <c r="Z642" s="365"/>
      <c r="AA642" s="1107"/>
    </row>
    <row r="643" spans="1:27" ht="39" x14ac:dyDescent="0.25">
      <c r="A643" s="488"/>
      <c r="B643" s="131"/>
      <c r="C643" s="75"/>
      <c r="D643" s="568"/>
      <c r="E643" s="568"/>
      <c r="F643" s="143"/>
      <c r="G643" s="75"/>
      <c r="H643" s="75"/>
      <c r="I643" s="875"/>
      <c r="J643" s="188">
        <v>5438</v>
      </c>
      <c r="K643" s="76">
        <v>93</v>
      </c>
      <c r="L643" s="118">
        <v>1670701</v>
      </c>
      <c r="M643" s="118">
        <v>5336682</v>
      </c>
      <c r="N643" s="118" t="s">
        <v>8732</v>
      </c>
      <c r="O643" s="312" t="s">
        <v>2090</v>
      </c>
      <c r="P643" s="312" t="s">
        <v>419</v>
      </c>
      <c r="Q643" s="118" t="s">
        <v>8848</v>
      </c>
      <c r="R643" s="571" t="s">
        <v>8874</v>
      </c>
      <c r="S643" s="68" t="s">
        <v>10</v>
      </c>
      <c r="T643" s="1030" t="s">
        <v>4131</v>
      </c>
      <c r="U643" s="45" t="s">
        <v>8696</v>
      </c>
      <c r="V643" s="46" t="s">
        <v>9219</v>
      </c>
      <c r="W643" s="46" t="s">
        <v>37</v>
      </c>
      <c r="X643" s="47">
        <v>44400</v>
      </c>
      <c r="Y643" s="46"/>
      <c r="Z643" s="365"/>
      <c r="AA643" s="1107"/>
    </row>
    <row r="644" spans="1:27" ht="39" x14ac:dyDescent="0.25">
      <c r="A644" s="488"/>
      <c r="B644" s="131"/>
      <c r="C644" s="75"/>
      <c r="D644" s="568"/>
      <c r="E644" s="568"/>
      <c r="F644" s="143"/>
      <c r="G644" s="75"/>
      <c r="H644" s="75"/>
      <c r="I644" s="875"/>
      <c r="J644" s="188">
        <v>5439</v>
      </c>
      <c r="K644" s="76">
        <v>95</v>
      </c>
      <c r="L644" s="118">
        <v>1670530</v>
      </c>
      <c r="M644" s="118">
        <v>5336855</v>
      </c>
      <c r="N644" s="118" t="s">
        <v>8733</v>
      </c>
      <c r="O644" s="312" t="s">
        <v>2090</v>
      </c>
      <c r="P644" s="312" t="s">
        <v>419</v>
      </c>
      <c r="Q644" s="118" t="s">
        <v>8849</v>
      </c>
      <c r="R644" s="571" t="s">
        <v>4329</v>
      </c>
      <c r="S644" s="68" t="s">
        <v>10</v>
      </c>
      <c r="T644" s="1030" t="s">
        <v>8734</v>
      </c>
      <c r="U644" s="45" t="s">
        <v>8696</v>
      </c>
      <c r="V644" s="46" t="s">
        <v>9219</v>
      </c>
      <c r="W644" s="46" t="s">
        <v>37</v>
      </c>
      <c r="X644" s="47">
        <v>44400</v>
      </c>
      <c r="Y644" s="46"/>
      <c r="Z644" s="365"/>
      <c r="AA644" s="1107"/>
    </row>
    <row r="645" spans="1:27" ht="39" x14ac:dyDescent="0.25">
      <c r="A645" s="488"/>
      <c r="B645" s="131"/>
      <c r="C645" s="75"/>
      <c r="D645" s="568"/>
      <c r="E645" s="568"/>
      <c r="F645" s="143"/>
      <c r="G645" s="75"/>
      <c r="H645" s="75"/>
      <c r="I645" s="875"/>
      <c r="J645" s="188">
        <v>5440</v>
      </c>
      <c r="K645" s="76">
        <v>97</v>
      </c>
      <c r="L645" s="118">
        <v>1670299</v>
      </c>
      <c r="M645" s="118">
        <v>5337002</v>
      </c>
      <c r="N645" s="118" t="s">
        <v>8735</v>
      </c>
      <c r="O645" s="312" t="s">
        <v>2090</v>
      </c>
      <c r="P645" s="312" t="s">
        <v>419</v>
      </c>
      <c r="Q645" s="118" t="s">
        <v>8850</v>
      </c>
      <c r="R645" s="571" t="s">
        <v>4329</v>
      </c>
      <c r="S645" s="68" t="s">
        <v>10</v>
      </c>
      <c r="T645" s="1030" t="s">
        <v>4131</v>
      </c>
      <c r="U645" s="45" t="s">
        <v>8687</v>
      </c>
      <c r="V645" s="46" t="s">
        <v>9219</v>
      </c>
      <c r="W645" s="46" t="s">
        <v>37</v>
      </c>
      <c r="X645" s="47">
        <v>44400</v>
      </c>
      <c r="Y645" s="46"/>
      <c r="Z645" s="365"/>
      <c r="AA645" s="1107"/>
    </row>
    <row r="646" spans="1:27" ht="39" x14ac:dyDescent="0.25">
      <c r="A646" s="488"/>
      <c r="B646" s="131"/>
      <c r="C646" s="75"/>
      <c r="D646" s="568"/>
      <c r="E646" s="568"/>
      <c r="F646" s="143"/>
      <c r="G646" s="75"/>
      <c r="H646" s="75"/>
      <c r="I646" s="875"/>
      <c r="J646" s="188">
        <v>5441</v>
      </c>
      <c r="K646" s="76">
        <v>98</v>
      </c>
      <c r="L646" s="118">
        <v>1670231</v>
      </c>
      <c r="M646" s="118">
        <v>5337038</v>
      </c>
      <c r="N646" s="118" t="s">
        <v>8736</v>
      </c>
      <c r="O646" s="312" t="s">
        <v>2090</v>
      </c>
      <c r="P646" s="312" t="s">
        <v>419</v>
      </c>
      <c r="Q646" s="118" t="s">
        <v>8851</v>
      </c>
      <c r="R646" s="571" t="s">
        <v>4329</v>
      </c>
      <c r="S646" s="68" t="s">
        <v>10</v>
      </c>
      <c r="T646" s="1030" t="s">
        <v>8734</v>
      </c>
      <c r="U646" s="45" t="s">
        <v>8696</v>
      </c>
      <c r="V646" s="46" t="s">
        <v>9219</v>
      </c>
      <c r="W646" s="46" t="s">
        <v>37</v>
      </c>
      <c r="X646" s="47">
        <v>44400</v>
      </c>
      <c r="Y646" s="46"/>
      <c r="Z646" s="365"/>
      <c r="AA646" s="1107"/>
    </row>
    <row r="647" spans="1:27" ht="39" x14ac:dyDescent="0.25">
      <c r="A647" s="488"/>
      <c r="B647" s="131"/>
      <c r="C647" s="75"/>
      <c r="D647" s="568"/>
      <c r="E647" s="568"/>
      <c r="F647" s="143"/>
      <c r="G647" s="75"/>
      <c r="H647" s="75"/>
      <c r="I647" s="875"/>
      <c r="J647" s="188">
        <v>5442</v>
      </c>
      <c r="K647" s="76">
        <v>101</v>
      </c>
      <c r="L647" s="118">
        <v>1669989</v>
      </c>
      <c r="M647" s="118">
        <v>5337197</v>
      </c>
      <c r="N647" s="118" t="s">
        <v>8737</v>
      </c>
      <c r="O647" s="312" t="s">
        <v>2090</v>
      </c>
      <c r="P647" s="312" t="s">
        <v>419</v>
      </c>
      <c r="Q647" s="118" t="s">
        <v>8852</v>
      </c>
      <c r="R647" s="571" t="s">
        <v>4329</v>
      </c>
      <c r="S647" s="68" t="s">
        <v>10</v>
      </c>
      <c r="T647" s="1030" t="s">
        <v>4131</v>
      </c>
      <c r="U647" s="45" t="s">
        <v>8687</v>
      </c>
      <c r="V647" s="46" t="s">
        <v>9219</v>
      </c>
      <c r="W647" s="46" t="s">
        <v>37</v>
      </c>
      <c r="X647" s="47">
        <v>44400</v>
      </c>
      <c r="Y647" s="46"/>
      <c r="Z647" s="365"/>
      <c r="AA647" s="1107"/>
    </row>
    <row r="648" spans="1:27" ht="39" x14ac:dyDescent="0.25">
      <c r="A648" s="488"/>
      <c r="B648" s="131"/>
      <c r="C648" s="75"/>
      <c r="D648" s="568"/>
      <c r="E648" s="568"/>
      <c r="F648" s="143"/>
      <c r="G648" s="75"/>
      <c r="H648" s="75"/>
      <c r="I648" s="875"/>
      <c r="J648" s="188">
        <v>5443</v>
      </c>
      <c r="K648" s="76">
        <v>104</v>
      </c>
      <c r="L648" s="118">
        <v>1669737</v>
      </c>
      <c r="M648" s="118">
        <v>5337375</v>
      </c>
      <c r="N648" s="118" t="s">
        <v>8738</v>
      </c>
      <c r="O648" s="312" t="s">
        <v>2090</v>
      </c>
      <c r="P648" s="312" t="s">
        <v>419</v>
      </c>
      <c r="Q648" s="118" t="s">
        <v>8853</v>
      </c>
      <c r="R648" s="571" t="s">
        <v>8874</v>
      </c>
      <c r="S648" s="68" t="s">
        <v>10</v>
      </c>
      <c r="T648" s="1030" t="s">
        <v>8739</v>
      </c>
      <c r="U648" s="45" t="s">
        <v>8696</v>
      </c>
      <c r="V648" s="46" t="s">
        <v>9219</v>
      </c>
      <c r="W648" s="46" t="s">
        <v>37</v>
      </c>
      <c r="X648" s="47">
        <v>44400</v>
      </c>
      <c r="Y648" s="46"/>
      <c r="Z648" s="365"/>
      <c r="AA648" s="1107"/>
    </row>
    <row r="649" spans="1:27" ht="39" x14ac:dyDescent="0.25">
      <c r="A649" s="488"/>
      <c r="B649" s="131"/>
      <c r="C649" s="75"/>
      <c r="D649" s="568"/>
      <c r="E649" s="568"/>
      <c r="F649" s="143"/>
      <c r="G649" s="75"/>
      <c r="H649" s="75"/>
      <c r="I649" s="875"/>
      <c r="J649" s="188">
        <v>5444</v>
      </c>
      <c r="K649" s="76">
        <v>106</v>
      </c>
      <c r="L649" s="118">
        <v>1669585</v>
      </c>
      <c r="M649" s="118">
        <v>5337458</v>
      </c>
      <c r="N649" s="118" t="s">
        <v>8740</v>
      </c>
      <c r="O649" s="312" t="s">
        <v>2090</v>
      </c>
      <c r="P649" s="312" t="s">
        <v>419</v>
      </c>
      <c r="Q649" s="118" t="s">
        <v>8854</v>
      </c>
      <c r="R649" s="571" t="s">
        <v>4329</v>
      </c>
      <c r="S649" s="68" t="s">
        <v>10</v>
      </c>
      <c r="T649" s="1030" t="s">
        <v>8734</v>
      </c>
      <c r="U649" s="45" t="s">
        <v>8696</v>
      </c>
      <c r="V649" s="46" t="s">
        <v>9219</v>
      </c>
      <c r="W649" s="46" t="s">
        <v>37</v>
      </c>
      <c r="X649" s="47">
        <v>44400</v>
      </c>
      <c r="Y649" s="46"/>
      <c r="Z649" s="365"/>
      <c r="AA649" s="1107"/>
    </row>
    <row r="650" spans="1:27" ht="39" x14ac:dyDescent="0.25">
      <c r="A650" s="488"/>
      <c r="B650" s="131"/>
      <c r="C650" s="75"/>
      <c r="D650" s="568"/>
      <c r="E650" s="568"/>
      <c r="F650" s="143"/>
      <c r="G650" s="75"/>
      <c r="H650" s="75"/>
      <c r="I650" s="875"/>
      <c r="J650" s="188">
        <v>5445</v>
      </c>
      <c r="K650" s="76">
        <v>107</v>
      </c>
      <c r="L650" s="118">
        <v>1669383</v>
      </c>
      <c r="M650" s="118">
        <v>5337526</v>
      </c>
      <c r="N650" s="118" t="s">
        <v>8741</v>
      </c>
      <c r="O650" s="312" t="s">
        <v>2090</v>
      </c>
      <c r="P650" s="312" t="s">
        <v>419</v>
      </c>
      <c r="Q650" s="118" t="s">
        <v>8855</v>
      </c>
      <c r="R650" s="571" t="s">
        <v>4329</v>
      </c>
      <c r="S650" s="68" t="s">
        <v>10</v>
      </c>
      <c r="T650" s="1030" t="s">
        <v>8742</v>
      </c>
      <c r="U650" s="45" t="s">
        <v>8687</v>
      </c>
      <c r="V650" s="46" t="s">
        <v>9219</v>
      </c>
      <c r="W650" s="46" t="s">
        <v>37</v>
      </c>
      <c r="X650" s="47">
        <v>44400</v>
      </c>
      <c r="Y650" s="46"/>
      <c r="Z650" s="365"/>
      <c r="AA650" s="1107"/>
    </row>
    <row r="651" spans="1:27" ht="39" x14ac:dyDescent="0.25">
      <c r="A651" s="488"/>
      <c r="B651" s="131"/>
      <c r="C651" s="75"/>
      <c r="D651" s="568"/>
      <c r="E651" s="568"/>
      <c r="F651" s="143"/>
      <c r="G651" s="75"/>
      <c r="H651" s="75"/>
      <c r="I651" s="875"/>
      <c r="J651" s="188">
        <v>5446</v>
      </c>
      <c r="K651" s="76">
        <v>107</v>
      </c>
      <c r="L651" s="118">
        <v>1669372</v>
      </c>
      <c r="M651" s="118">
        <v>5337534</v>
      </c>
      <c r="N651" s="118" t="s">
        <v>8743</v>
      </c>
      <c r="O651" s="312" t="s">
        <v>2090</v>
      </c>
      <c r="P651" s="312" t="s">
        <v>419</v>
      </c>
      <c r="Q651" s="118" t="s">
        <v>8856</v>
      </c>
      <c r="R651" s="571" t="s">
        <v>4329</v>
      </c>
      <c r="S651" s="68" t="s">
        <v>10</v>
      </c>
      <c r="T651" s="1030" t="s">
        <v>8742</v>
      </c>
      <c r="U651" s="45" t="s">
        <v>8687</v>
      </c>
      <c r="V651" s="46" t="s">
        <v>9219</v>
      </c>
      <c r="W651" s="46" t="s">
        <v>37</v>
      </c>
      <c r="X651" s="47">
        <v>44400</v>
      </c>
      <c r="Y651" s="46"/>
      <c r="Z651" s="365"/>
      <c r="AA651" s="1107"/>
    </row>
    <row r="652" spans="1:27" ht="39" x14ac:dyDescent="0.25">
      <c r="A652" s="488"/>
      <c r="B652" s="131"/>
      <c r="C652" s="75"/>
      <c r="D652" s="568"/>
      <c r="E652" s="568"/>
      <c r="F652" s="143"/>
      <c r="G652" s="75"/>
      <c r="H652" s="75"/>
      <c r="I652" s="875"/>
      <c r="J652" s="188">
        <v>5447</v>
      </c>
      <c r="K652" s="76">
        <v>107.5</v>
      </c>
      <c r="L652" s="118">
        <v>1669361</v>
      </c>
      <c r="M652" s="118">
        <v>5337538</v>
      </c>
      <c r="N652" s="118" t="s">
        <v>8744</v>
      </c>
      <c r="O652" s="312" t="s">
        <v>2090</v>
      </c>
      <c r="P652" s="312" t="s">
        <v>419</v>
      </c>
      <c r="Q652" s="118" t="s">
        <v>8857</v>
      </c>
      <c r="R652" s="571" t="s">
        <v>4329</v>
      </c>
      <c r="S652" s="68" t="s">
        <v>10</v>
      </c>
      <c r="T652" s="1030" t="s">
        <v>8742</v>
      </c>
      <c r="U652" s="45" t="s">
        <v>8687</v>
      </c>
      <c r="V652" s="46" t="s">
        <v>9219</v>
      </c>
      <c r="W652" s="46" t="s">
        <v>37</v>
      </c>
      <c r="X652" s="47">
        <v>44400</v>
      </c>
      <c r="Y652" s="46"/>
      <c r="Z652" s="365"/>
      <c r="AA652" s="1107"/>
    </row>
    <row r="653" spans="1:27" ht="39" x14ac:dyDescent="0.25">
      <c r="A653" s="488"/>
      <c r="B653" s="131"/>
      <c r="C653" s="75"/>
      <c r="D653" s="568"/>
      <c r="E653" s="568"/>
      <c r="F653" s="143"/>
      <c r="G653" s="75"/>
      <c r="H653" s="75"/>
      <c r="I653" s="875"/>
      <c r="J653" s="188">
        <v>5448</v>
      </c>
      <c r="K653" s="76">
        <v>107.5</v>
      </c>
      <c r="L653" s="118">
        <v>1669362</v>
      </c>
      <c r="M653" s="118">
        <v>5337548</v>
      </c>
      <c r="N653" s="118" t="s">
        <v>8744</v>
      </c>
      <c r="O653" s="312" t="s">
        <v>2090</v>
      </c>
      <c r="P653" s="312" t="s">
        <v>419</v>
      </c>
      <c r="Q653" s="118" t="s">
        <v>8857</v>
      </c>
      <c r="R653" s="571" t="s">
        <v>4329</v>
      </c>
      <c r="S653" s="68" t="s">
        <v>10</v>
      </c>
      <c r="T653" s="1030" t="s">
        <v>8742</v>
      </c>
      <c r="U653" s="45" t="s">
        <v>8687</v>
      </c>
      <c r="V653" s="46" t="s">
        <v>9219</v>
      </c>
      <c r="W653" s="46" t="s">
        <v>37</v>
      </c>
      <c r="X653" s="47">
        <v>44400</v>
      </c>
      <c r="Y653" s="46"/>
      <c r="Z653" s="365"/>
      <c r="AA653" s="1107"/>
    </row>
    <row r="654" spans="1:27" ht="39" x14ac:dyDescent="0.25">
      <c r="A654" s="488"/>
      <c r="B654" s="131"/>
      <c r="C654" s="75"/>
      <c r="D654" s="568"/>
      <c r="E654" s="568"/>
      <c r="F654" s="143"/>
      <c r="G654" s="75"/>
      <c r="H654" s="75"/>
      <c r="I654" s="875"/>
      <c r="J654" s="188">
        <v>5449</v>
      </c>
      <c r="K654" s="76">
        <v>108</v>
      </c>
      <c r="L654" s="118">
        <v>1669351</v>
      </c>
      <c r="M654" s="118">
        <v>5337552</v>
      </c>
      <c r="N654" s="118" t="s">
        <v>8745</v>
      </c>
      <c r="O654" s="312" t="s">
        <v>2090</v>
      </c>
      <c r="P654" s="312" t="s">
        <v>419</v>
      </c>
      <c r="Q654" s="118" t="s">
        <v>8858</v>
      </c>
      <c r="R654" s="571" t="s">
        <v>4329</v>
      </c>
      <c r="S654" s="68" t="s">
        <v>10</v>
      </c>
      <c r="T654" s="1030" t="s">
        <v>8742</v>
      </c>
      <c r="U654" s="45" t="s">
        <v>8687</v>
      </c>
      <c r="V654" s="46" t="s">
        <v>9219</v>
      </c>
      <c r="W654" s="46" t="s">
        <v>37</v>
      </c>
      <c r="X654" s="47">
        <v>44400</v>
      </c>
      <c r="Y654" s="46"/>
      <c r="Z654" s="365"/>
      <c r="AA654" s="1107"/>
    </row>
    <row r="655" spans="1:27" ht="39" x14ac:dyDescent="0.25">
      <c r="A655" s="488"/>
      <c r="B655" s="131"/>
      <c r="C655" s="75"/>
      <c r="D655" s="568"/>
      <c r="E655" s="568"/>
      <c r="F655" s="143"/>
      <c r="G655" s="75"/>
      <c r="H655" s="75"/>
      <c r="I655" s="875"/>
      <c r="J655" s="188">
        <v>5450</v>
      </c>
      <c r="K655" s="76">
        <v>108</v>
      </c>
      <c r="L655" s="118">
        <v>1669337</v>
      </c>
      <c r="M655" s="118">
        <v>5337560</v>
      </c>
      <c r="N655" s="118" t="s">
        <v>8746</v>
      </c>
      <c r="O655" s="312" t="s">
        <v>2090</v>
      </c>
      <c r="P655" s="312" t="s">
        <v>419</v>
      </c>
      <c r="Q655" s="118" t="s">
        <v>8859</v>
      </c>
      <c r="R655" s="571" t="s">
        <v>4329</v>
      </c>
      <c r="S655" s="68" t="s">
        <v>10</v>
      </c>
      <c r="T655" s="1030" t="s">
        <v>8742</v>
      </c>
      <c r="U655" s="45" t="s">
        <v>8687</v>
      </c>
      <c r="V655" s="46" t="s">
        <v>9219</v>
      </c>
      <c r="W655" s="46" t="s">
        <v>37</v>
      </c>
      <c r="X655" s="47">
        <v>44400</v>
      </c>
      <c r="Y655" s="46"/>
      <c r="Z655" s="365"/>
      <c r="AA655" s="1107"/>
    </row>
    <row r="656" spans="1:27" ht="39" x14ac:dyDescent="0.25">
      <c r="A656" s="488"/>
      <c r="B656" s="131"/>
      <c r="C656" s="75"/>
      <c r="D656" s="568"/>
      <c r="E656" s="568"/>
      <c r="F656" s="143"/>
      <c r="G656" s="75"/>
      <c r="H656" s="75"/>
      <c r="I656" s="875"/>
      <c r="J656" s="188">
        <v>5451</v>
      </c>
      <c r="K656" s="76">
        <v>108</v>
      </c>
      <c r="L656" s="118">
        <v>1669410</v>
      </c>
      <c r="M656" s="118">
        <v>5337589</v>
      </c>
      <c r="N656" s="118" t="s">
        <v>8747</v>
      </c>
      <c r="O656" s="312" t="s">
        <v>2090</v>
      </c>
      <c r="P656" s="312" t="s">
        <v>419</v>
      </c>
      <c r="Q656" s="118" t="s">
        <v>8860</v>
      </c>
      <c r="R656" s="571" t="s">
        <v>4329</v>
      </c>
      <c r="S656" s="68" t="s">
        <v>10</v>
      </c>
      <c r="T656" s="1030" t="s">
        <v>8748</v>
      </c>
      <c r="U656" s="45" t="s">
        <v>8687</v>
      </c>
      <c r="V656" s="46" t="s">
        <v>9219</v>
      </c>
      <c r="W656" s="46" t="s">
        <v>37</v>
      </c>
      <c r="X656" s="47">
        <v>44400</v>
      </c>
      <c r="Y656" s="46"/>
      <c r="Z656" s="365"/>
      <c r="AA656" s="1107"/>
    </row>
    <row r="657" spans="1:27" ht="39" x14ac:dyDescent="0.25">
      <c r="A657" s="488"/>
      <c r="B657" s="131"/>
      <c r="C657" s="75"/>
      <c r="D657" s="568"/>
      <c r="E657" s="568"/>
      <c r="F657" s="143"/>
      <c r="G657" s="75"/>
      <c r="H657" s="75"/>
      <c r="I657" s="875"/>
      <c r="J657" s="188">
        <v>5452</v>
      </c>
      <c r="K657" s="76">
        <v>111</v>
      </c>
      <c r="L657" s="118">
        <v>1669128</v>
      </c>
      <c r="M657" s="118">
        <v>5337620</v>
      </c>
      <c r="N657" s="118" t="s">
        <v>8749</v>
      </c>
      <c r="O657" s="312" t="s">
        <v>2090</v>
      </c>
      <c r="P657" s="312" t="s">
        <v>419</v>
      </c>
      <c r="Q657" s="118" t="s">
        <v>8861</v>
      </c>
      <c r="R657" s="571" t="s">
        <v>8874</v>
      </c>
      <c r="S657" s="68" t="s">
        <v>10</v>
      </c>
      <c r="T657" s="1030" t="s">
        <v>8363</v>
      </c>
      <c r="U657" s="45" t="s">
        <v>8750</v>
      </c>
      <c r="V657" s="46" t="s">
        <v>9219</v>
      </c>
      <c r="W657" s="46" t="s">
        <v>37</v>
      </c>
      <c r="X657" s="47">
        <v>44400</v>
      </c>
      <c r="Y657" s="46"/>
      <c r="Z657" s="365"/>
      <c r="AA657" s="1107"/>
    </row>
    <row r="658" spans="1:27" ht="39" x14ac:dyDescent="0.25">
      <c r="A658" s="488"/>
      <c r="B658" s="131"/>
      <c r="C658" s="75"/>
      <c r="D658" s="568"/>
      <c r="E658" s="568"/>
      <c r="F658" s="143"/>
      <c r="G658" s="75"/>
      <c r="H658" s="75"/>
      <c r="I658" s="875"/>
      <c r="J658" s="188">
        <v>5453</v>
      </c>
      <c r="K658" s="76">
        <v>111</v>
      </c>
      <c r="L658" s="118">
        <v>1669103</v>
      </c>
      <c r="M658" s="118">
        <v>5337665</v>
      </c>
      <c r="N658" s="118" t="s">
        <v>8751</v>
      </c>
      <c r="O658" s="312" t="s">
        <v>2090</v>
      </c>
      <c r="P658" s="312" t="s">
        <v>419</v>
      </c>
      <c r="Q658" s="118" t="s">
        <v>8862</v>
      </c>
      <c r="R658" s="571" t="s">
        <v>4329</v>
      </c>
      <c r="S658" s="68" t="s">
        <v>10</v>
      </c>
      <c r="T658" s="1030" t="s">
        <v>8363</v>
      </c>
      <c r="U658" s="45" t="s">
        <v>8696</v>
      </c>
      <c r="V658" s="46" t="s">
        <v>9219</v>
      </c>
      <c r="W658" s="46" t="s">
        <v>37</v>
      </c>
      <c r="X658" s="47">
        <v>44400</v>
      </c>
      <c r="Y658" s="46"/>
      <c r="Z658" s="365"/>
      <c r="AA658" s="1107"/>
    </row>
    <row r="659" spans="1:27" ht="39" x14ac:dyDescent="0.25">
      <c r="A659" s="488"/>
      <c r="B659" s="131"/>
      <c r="C659" s="75"/>
      <c r="D659" s="568"/>
      <c r="E659" s="568"/>
      <c r="F659" s="143"/>
      <c r="G659" s="75"/>
      <c r="H659" s="75"/>
      <c r="I659" s="875"/>
      <c r="J659" s="188">
        <v>5454</v>
      </c>
      <c r="K659" s="76">
        <v>112</v>
      </c>
      <c r="L659" s="118">
        <v>1669068</v>
      </c>
      <c r="M659" s="118">
        <v>5337788</v>
      </c>
      <c r="N659" s="118" t="s">
        <v>8752</v>
      </c>
      <c r="O659" s="312" t="s">
        <v>2090</v>
      </c>
      <c r="P659" s="312" t="s">
        <v>419</v>
      </c>
      <c r="Q659" s="118" t="s">
        <v>8863</v>
      </c>
      <c r="R659" s="571" t="s">
        <v>8874</v>
      </c>
      <c r="S659" s="68" t="s">
        <v>10</v>
      </c>
      <c r="T659" s="1030" t="s">
        <v>8363</v>
      </c>
      <c r="U659" s="45" t="s">
        <v>8750</v>
      </c>
      <c r="V659" s="46" t="s">
        <v>9219</v>
      </c>
      <c r="W659" s="46" t="s">
        <v>37</v>
      </c>
      <c r="X659" s="47">
        <v>44400</v>
      </c>
      <c r="Y659" s="46"/>
      <c r="Z659" s="365"/>
      <c r="AA659" s="1107"/>
    </row>
    <row r="660" spans="1:27" ht="39" x14ac:dyDescent="0.25">
      <c r="A660" s="488"/>
      <c r="B660" s="131"/>
      <c r="C660" s="75"/>
      <c r="D660" s="568"/>
      <c r="E660" s="568"/>
      <c r="F660" s="143"/>
      <c r="G660" s="75"/>
      <c r="H660" s="75"/>
      <c r="I660" s="875"/>
      <c r="J660" s="188">
        <v>5455</v>
      </c>
      <c r="K660" s="76">
        <v>114</v>
      </c>
      <c r="L660" s="118">
        <v>1668741</v>
      </c>
      <c r="M660" s="118">
        <v>5337638</v>
      </c>
      <c r="N660" s="118" t="s">
        <v>8815</v>
      </c>
      <c r="O660" s="67" t="s">
        <v>194</v>
      </c>
      <c r="P660" s="312">
        <v>1</v>
      </c>
      <c r="Q660" s="118" t="s">
        <v>8876</v>
      </c>
      <c r="R660" s="571" t="s">
        <v>8871</v>
      </c>
      <c r="S660" s="68" t="s">
        <v>16</v>
      </c>
      <c r="T660" s="1030" t="s">
        <v>798</v>
      </c>
      <c r="U660" s="45" t="s">
        <v>8696</v>
      </c>
      <c r="V660" s="46" t="s">
        <v>9219</v>
      </c>
      <c r="W660" s="46" t="s">
        <v>37</v>
      </c>
      <c r="X660" s="47">
        <v>44400</v>
      </c>
      <c r="Y660" s="46"/>
      <c r="Z660" s="365"/>
      <c r="AA660" s="1107"/>
    </row>
    <row r="661" spans="1:27" ht="39" x14ac:dyDescent="0.25">
      <c r="A661" s="488"/>
      <c r="B661" s="131"/>
      <c r="C661" s="75"/>
      <c r="D661" s="568"/>
      <c r="E661" s="568"/>
      <c r="F661" s="143"/>
      <c r="G661" s="75"/>
      <c r="H661" s="75"/>
      <c r="I661" s="875"/>
      <c r="J661" s="188">
        <v>5456</v>
      </c>
      <c r="K661" s="76">
        <v>114</v>
      </c>
      <c r="L661" s="118">
        <v>1668741</v>
      </c>
      <c r="M661" s="118">
        <v>5337638</v>
      </c>
      <c r="N661" s="118" t="s">
        <v>8753</v>
      </c>
      <c r="O661" s="312" t="s">
        <v>2090</v>
      </c>
      <c r="P661" s="312" t="s">
        <v>419</v>
      </c>
      <c r="Q661" s="118" t="s">
        <v>8868</v>
      </c>
      <c r="R661" s="571" t="s">
        <v>4329</v>
      </c>
      <c r="S661" s="68" t="s">
        <v>10</v>
      </c>
      <c r="T661" s="1030" t="s">
        <v>8412</v>
      </c>
      <c r="U661" s="45" t="s">
        <v>8696</v>
      </c>
      <c r="V661" s="46" t="s">
        <v>9219</v>
      </c>
      <c r="W661" s="46" t="s">
        <v>37</v>
      </c>
      <c r="X661" s="47">
        <v>44400</v>
      </c>
      <c r="Y661" s="46"/>
      <c r="Z661" s="365"/>
      <c r="AA661" s="1107"/>
    </row>
    <row r="662" spans="1:27" ht="39" x14ac:dyDescent="0.25">
      <c r="A662" s="488"/>
      <c r="B662" s="131"/>
      <c r="C662" s="75"/>
      <c r="D662" s="568"/>
      <c r="E662" s="568"/>
      <c r="F662" s="143"/>
      <c r="G662" s="75"/>
      <c r="H662" s="75"/>
      <c r="I662" s="875"/>
      <c r="J662" s="188">
        <v>5457</v>
      </c>
      <c r="K662" s="76" t="s">
        <v>8754</v>
      </c>
      <c r="L662" s="118">
        <v>1672404</v>
      </c>
      <c r="M662" s="118">
        <v>5326003</v>
      </c>
      <c r="N662" s="118" t="s">
        <v>8808</v>
      </c>
      <c r="O662" s="67" t="s">
        <v>194</v>
      </c>
      <c r="P662" s="312">
        <v>1</v>
      </c>
      <c r="Q662" s="118" t="s">
        <v>8877</v>
      </c>
      <c r="R662" s="571" t="s">
        <v>8870</v>
      </c>
      <c r="S662" s="68" t="s">
        <v>10</v>
      </c>
      <c r="T662" s="1030" t="s">
        <v>8680</v>
      </c>
      <c r="U662" s="45" t="s">
        <v>8682</v>
      </c>
      <c r="V662" s="46" t="s">
        <v>9219</v>
      </c>
      <c r="W662" s="46" t="s">
        <v>37</v>
      </c>
      <c r="X662" s="47">
        <v>44400</v>
      </c>
      <c r="Y662" s="46"/>
      <c r="Z662" s="365"/>
      <c r="AA662" s="1107"/>
    </row>
    <row r="663" spans="1:27" ht="39" x14ac:dyDescent="0.25">
      <c r="A663" s="488"/>
      <c r="B663" s="131"/>
      <c r="C663" s="75"/>
      <c r="D663" s="568"/>
      <c r="E663" s="568"/>
      <c r="F663" s="143"/>
      <c r="G663" s="75"/>
      <c r="H663" s="75"/>
      <c r="I663" s="875"/>
      <c r="J663" s="188">
        <v>5458</v>
      </c>
      <c r="K663" s="76" t="s">
        <v>8755</v>
      </c>
      <c r="L663" s="118">
        <v>1672343</v>
      </c>
      <c r="M663" s="118">
        <v>5326238</v>
      </c>
      <c r="N663" s="118" t="s">
        <v>4327</v>
      </c>
      <c r="O663" s="67" t="s">
        <v>194</v>
      </c>
      <c r="P663" s="312">
        <v>1</v>
      </c>
      <c r="Q663" s="118" t="s">
        <v>8878</v>
      </c>
      <c r="R663" s="571" t="s">
        <v>8870</v>
      </c>
      <c r="S663" s="68" t="s">
        <v>10</v>
      </c>
      <c r="T663" s="1030" t="s">
        <v>8680</v>
      </c>
      <c r="U663" s="45" t="s">
        <v>8682</v>
      </c>
      <c r="V663" s="46" t="s">
        <v>9219</v>
      </c>
      <c r="W663" s="46" t="s">
        <v>37</v>
      </c>
      <c r="X663" s="47">
        <v>44400</v>
      </c>
      <c r="Y663" s="46"/>
      <c r="Z663" s="365"/>
      <c r="AA663" s="1107"/>
    </row>
    <row r="664" spans="1:27" ht="39" x14ac:dyDescent="0.25">
      <c r="A664" s="488"/>
      <c r="B664" s="131"/>
      <c r="C664" s="75"/>
      <c r="D664" s="568"/>
      <c r="E664" s="568"/>
      <c r="F664" s="143"/>
      <c r="G664" s="75"/>
      <c r="H664" s="75"/>
      <c r="I664" s="875"/>
      <c r="J664" s="188">
        <v>5459</v>
      </c>
      <c r="K664" s="76" t="s">
        <v>8756</v>
      </c>
      <c r="L664" s="118">
        <v>1672315</v>
      </c>
      <c r="M664" s="118">
        <v>5326394</v>
      </c>
      <c r="N664" s="118" t="s">
        <v>4280</v>
      </c>
      <c r="O664" s="67" t="s">
        <v>194</v>
      </c>
      <c r="P664" s="312">
        <v>1</v>
      </c>
      <c r="Q664" s="118" t="s">
        <v>8879</v>
      </c>
      <c r="R664" s="571" t="s">
        <v>8870</v>
      </c>
      <c r="S664" s="68" t="s">
        <v>10</v>
      </c>
      <c r="T664" s="1030" t="s">
        <v>8680</v>
      </c>
      <c r="U664" s="45" t="s">
        <v>8682</v>
      </c>
      <c r="V664" s="46" t="s">
        <v>9219</v>
      </c>
      <c r="W664" s="46" t="s">
        <v>37</v>
      </c>
      <c r="X664" s="47">
        <v>44400</v>
      </c>
      <c r="Y664" s="46"/>
      <c r="Z664" s="365"/>
      <c r="AA664" s="1107"/>
    </row>
    <row r="665" spans="1:27" ht="39" x14ac:dyDescent="0.25">
      <c r="A665" s="488"/>
      <c r="B665" s="131"/>
      <c r="C665" s="75"/>
      <c r="D665" s="568"/>
      <c r="E665" s="568"/>
      <c r="F665" s="143"/>
      <c r="G665" s="75"/>
      <c r="H665" s="75"/>
      <c r="I665" s="875"/>
      <c r="J665" s="188">
        <v>5460</v>
      </c>
      <c r="K665" s="76" t="s">
        <v>8757</v>
      </c>
      <c r="L665" s="118">
        <v>1672300</v>
      </c>
      <c r="M665" s="118">
        <v>5326594</v>
      </c>
      <c r="N665" s="118" t="s">
        <v>4500</v>
      </c>
      <c r="O665" s="67" t="s">
        <v>194</v>
      </c>
      <c r="P665" s="312">
        <v>1</v>
      </c>
      <c r="Q665" s="118" t="s">
        <v>8880</v>
      </c>
      <c r="R665" s="571" t="s">
        <v>8870</v>
      </c>
      <c r="S665" s="68" t="s">
        <v>10</v>
      </c>
      <c r="T665" s="1030" t="s">
        <v>8680</v>
      </c>
      <c r="U665" s="45" t="s">
        <v>8682</v>
      </c>
      <c r="V665" s="46" t="s">
        <v>9219</v>
      </c>
      <c r="W665" s="46" t="s">
        <v>37</v>
      </c>
      <c r="X665" s="47">
        <v>44400</v>
      </c>
      <c r="Y665" s="46"/>
      <c r="Z665" s="365"/>
      <c r="AA665" s="1107"/>
    </row>
    <row r="666" spans="1:27" ht="39" x14ac:dyDescent="0.25">
      <c r="A666" s="488"/>
      <c r="B666" s="131"/>
      <c r="C666" s="75"/>
      <c r="D666" s="568"/>
      <c r="E666" s="568"/>
      <c r="F666" s="143"/>
      <c r="G666" s="75"/>
      <c r="H666" s="75"/>
      <c r="I666" s="875"/>
      <c r="J666" s="188">
        <v>5461</v>
      </c>
      <c r="K666" s="76" t="s">
        <v>8758</v>
      </c>
      <c r="L666" s="118">
        <v>1672320</v>
      </c>
      <c r="M666" s="118">
        <v>5326697</v>
      </c>
      <c r="N666" s="118" t="s">
        <v>4506</v>
      </c>
      <c r="O666" s="67" t="s">
        <v>194</v>
      </c>
      <c r="P666" s="312">
        <v>1</v>
      </c>
      <c r="Q666" s="118" t="s">
        <v>8881</v>
      </c>
      <c r="R666" s="571" t="s">
        <v>8871</v>
      </c>
      <c r="S666" s="68" t="s">
        <v>10</v>
      </c>
      <c r="T666" s="1030" t="s">
        <v>8759</v>
      </c>
      <c r="U666" s="45" t="s">
        <v>8760</v>
      </c>
      <c r="V666" s="46" t="s">
        <v>9219</v>
      </c>
      <c r="W666" s="46" t="s">
        <v>37</v>
      </c>
      <c r="X666" s="47">
        <v>44400</v>
      </c>
      <c r="Y666" s="46"/>
      <c r="Z666" s="365"/>
      <c r="AA666" s="1107"/>
    </row>
    <row r="667" spans="1:27" ht="39" x14ac:dyDescent="0.25">
      <c r="A667" s="488"/>
      <c r="B667" s="131"/>
      <c r="C667" s="75"/>
      <c r="D667" s="568"/>
      <c r="E667" s="568"/>
      <c r="F667" s="143"/>
      <c r="G667" s="75"/>
      <c r="H667" s="75"/>
      <c r="I667" s="875"/>
      <c r="J667" s="188">
        <v>5462</v>
      </c>
      <c r="K667" s="76" t="s">
        <v>8761</v>
      </c>
      <c r="L667" s="118">
        <v>1672339</v>
      </c>
      <c r="M667" s="118">
        <v>5326815</v>
      </c>
      <c r="N667" s="118" t="s">
        <v>4500</v>
      </c>
      <c r="O667" s="67" t="s">
        <v>194</v>
      </c>
      <c r="P667" s="312">
        <v>1</v>
      </c>
      <c r="Q667" s="118" t="s">
        <v>8880</v>
      </c>
      <c r="R667" s="571" t="s">
        <v>8871</v>
      </c>
      <c r="S667" s="68" t="s">
        <v>10</v>
      </c>
      <c r="T667" s="1030" t="s">
        <v>8759</v>
      </c>
      <c r="U667" s="45" t="s">
        <v>8760</v>
      </c>
      <c r="V667" s="46" t="s">
        <v>9219</v>
      </c>
      <c r="W667" s="46" t="s">
        <v>37</v>
      </c>
      <c r="X667" s="47">
        <v>44400</v>
      </c>
      <c r="Y667" s="46"/>
      <c r="Z667" s="365"/>
      <c r="AA667" s="1107"/>
    </row>
    <row r="668" spans="1:27" ht="39" x14ac:dyDescent="0.25">
      <c r="A668" s="488"/>
      <c r="B668" s="131"/>
      <c r="C668" s="75"/>
      <c r="D668" s="568"/>
      <c r="E668" s="568"/>
      <c r="F668" s="143"/>
      <c r="G668" s="75"/>
      <c r="H668" s="75"/>
      <c r="I668" s="875"/>
      <c r="J668" s="188">
        <v>5463</v>
      </c>
      <c r="K668" s="76" t="s">
        <v>8762</v>
      </c>
      <c r="L668" s="118">
        <v>1672409</v>
      </c>
      <c r="M668" s="118">
        <v>5326008</v>
      </c>
      <c r="N668" s="118" t="s">
        <v>8178</v>
      </c>
      <c r="O668" s="67" t="s">
        <v>194</v>
      </c>
      <c r="P668" s="312">
        <v>1</v>
      </c>
      <c r="Q668" s="118" t="s">
        <v>8882</v>
      </c>
      <c r="R668" s="571" t="s">
        <v>8871</v>
      </c>
      <c r="S668" s="68" t="s">
        <v>10</v>
      </c>
      <c r="T668" s="1030" t="s">
        <v>8759</v>
      </c>
      <c r="U668" s="45" t="s">
        <v>8760</v>
      </c>
      <c r="V668" s="46" t="s">
        <v>9219</v>
      </c>
      <c r="W668" s="46" t="s">
        <v>37</v>
      </c>
      <c r="X668" s="47">
        <v>44400</v>
      </c>
      <c r="Y668" s="46"/>
      <c r="Z668" s="365"/>
      <c r="AA668" s="1107"/>
    </row>
    <row r="669" spans="1:27" ht="26.25" x14ac:dyDescent="0.25">
      <c r="A669" s="488"/>
      <c r="B669" s="131"/>
      <c r="C669" s="75"/>
      <c r="D669" s="568"/>
      <c r="E669" s="568"/>
      <c r="F669" s="143"/>
      <c r="G669" s="75"/>
      <c r="H669" s="75"/>
      <c r="I669" s="875"/>
      <c r="J669" s="188">
        <v>5464</v>
      </c>
      <c r="K669" s="76" t="s">
        <v>8763</v>
      </c>
      <c r="L669" s="118">
        <v>1672409</v>
      </c>
      <c r="M669" s="118">
        <v>5326008</v>
      </c>
      <c r="N669" s="118" t="s">
        <v>8764</v>
      </c>
      <c r="O669" s="312" t="s">
        <v>2090</v>
      </c>
      <c r="P669" s="312" t="s">
        <v>419</v>
      </c>
      <c r="Q669" s="118" t="s">
        <v>8864</v>
      </c>
      <c r="R669" s="571" t="s">
        <v>4329</v>
      </c>
      <c r="S669" s="68" t="s">
        <v>10</v>
      </c>
      <c r="T669" s="1030" t="s">
        <v>8765</v>
      </c>
      <c r="U669" s="45" t="s">
        <v>8760</v>
      </c>
      <c r="V669" s="46" t="s">
        <v>9219</v>
      </c>
      <c r="W669" s="46" t="s">
        <v>37</v>
      </c>
      <c r="X669" s="47">
        <v>44400</v>
      </c>
      <c r="Y669" s="46"/>
      <c r="Z669" s="365"/>
      <c r="AA669" s="1107"/>
    </row>
    <row r="670" spans="1:27" ht="26.25" x14ac:dyDescent="0.25">
      <c r="A670" s="488"/>
      <c r="B670" s="131"/>
      <c r="C670" s="75"/>
      <c r="D670" s="568"/>
      <c r="E670" s="568"/>
      <c r="F670" s="143"/>
      <c r="G670" s="75"/>
      <c r="H670" s="75"/>
      <c r="I670" s="875"/>
      <c r="J670" s="188">
        <v>5465</v>
      </c>
      <c r="K670" s="76" t="s">
        <v>8766</v>
      </c>
      <c r="L670" s="118">
        <v>1672291</v>
      </c>
      <c r="M670" s="118">
        <v>5327393</v>
      </c>
      <c r="N670" s="118" t="s">
        <v>8767</v>
      </c>
      <c r="O670" s="312" t="s">
        <v>2090</v>
      </c>
      <c r="P670" s="312" t="s">
        <v>419</v>
      </c>
      <c r="Q670" s="118" t="s">
        <v>8865</v>
      </c>
      <c r="R670" s="571" t="s">
        <v>4329</v>
      </c>
      <c r="S670" s="68" t="s">
        <v>10</v>
      </c>
      <c r="T670" s="1030" t="s">
        <v>8363</v>
      </c>
      <c r="U670" s="45" t="s">
        <v>8760</v>
      </c>
      <c r="V670" s="46" t="s">
        <v>9219</v>
      </c>
      <c r="W670" s="46" t="s">
        <v>37</v>
      </c>
      <c r="X670" s="47">
        <v>44400</v>
      </c>
      <c r="Y670" s="46"/>
      <c r="Z670" s="365"/>
      <c r="AA670" s="1107"/>
    </row>
    <row r="671" spans="1:27" ht="39" x14ac:dyDescent="0.25">
      <c r="A671" s="488"/>
      <c r="B671" s="131"/>
      <c r="C671" s="75"/>
      <c r="D671" s="568"/>
      <c r="E671" s="568"/>
      <c r="F671" s="143"/>
      <c r="G671" s="75"/>
      <c r="H671" s="75"/>
      <c r="I671" s="875"/>
      <c r="J671" s="188">
        <v>5466</v>
      </c>
      <c r="K671" s="76" t="s">
        <v>8768</v>
      </c>
      <c r="L671" s="118">
        <v>1672243</v>
      </c>
      <c r="M671" s="118">
        <v>5327594</v>
      </c>
      <c r="N671" s="118" t="s">
        <v>8809</v>
      </c>
      <c r="O671" s="67" t="s">
        <v>194</v>
      </c>
      <c r="P671" s="312">
        <v>1</v>
      </c>
      <c r="Q671" s="118" t="s">
        <v>8883</v>
      </c>
      <c r="R671" s="571" t="s">
        <v>8871</v>
      </c>
      <c r="S671" s="68" t="s">
        <v>16</v>
      </c>
      <c r="T671" s="1030" t="s">
        <v>5708</v>
      </c>
      <c r="U671" s="45" t="s">
        <v>8760</v>
      </c>
      <c r="V671" s="46" t="s">
        <v>9219</v>
      </c>
      <c r="W671" s="46" t="s">
        <v>37</v>
      </c>
      <c r="X671" s="47">
        <v>44400</v>
      </c>
      <c r="Y671" s="46"/>
      <c r="Z671" s="365"/>
      <c r="AA671" s="1107"/>
    </row>
    <row r="672" spans="1:27" ht="39" x14ac:dyDescent="0.25">
      <c r="A672" s="488"/>
      <c r="B672" s="131"/>
      <c r="C672" s="75"/>
      <c r="D672" s="568"/>
      <c r="E672" s="568"/>
      <c r="F672" s="143"/>
      <c r="G672" s="75"/>
      <c r="H672" s="75"/>
      <c r="I672" s="875"/>
      <c r="J672" s="188">
        <v>5467</v>
      </c>
      <c r="K672" s="76" t="s">
        <v>8769</v>
      </c>
      <c r="L672" s="118">
        <v>1672232</v>
      </c>
      <c r="M672" s="118">
        <v>5327772</v>
      </c>
      <c r="N672" s="118" t="s">
        <v>8809</v>
      </c>
      <c r="O672" s="67" t="s">
        <v>194</v>
      </c>
      <c r="P672" s="312">
        <v>1</v>
      </c>
      <c r="Q672" s="118" t="s">
        <v>8883</v>
      </c>
      <c r="R672" s="571" t="s">
        <v>8871</v>
      </c>
      <c r="S672" s="68" t="s">
        <v>16</v>
      </c>
      <c r="T672" s="1030" t="s">
        <v>5708</v>
      </c>
      <c r="U672" s="45" t="s">
        <v>8760</v>
      </c>
      <c r="V672" s="46" t="s">
        <v>9219</v>
      </c>
      <c r="W672" s="46" t="s">
        <v>37</v>
      </c>
      <c r="X672" s="47">
        <v>44400</v>
      </c>
      <c r="Y672" s="46"/>
      <c r="Z672" s="365"/>
      <c r="AA672" s="1107"/>
    </row>
    <row r="673" spans="1:27" ht="39" x14ac:dyDescent="0.25">
      <c r="A673" s="488"/>
      <c r="B673" s="131"/>
      <c r="C673" s="75"/>
      <c r="D673" s="568"/>
      <c r="E673" s="568"/>
      <c r="F673" s="143"/>
      <c r="G673" s="75"/>
      <c r="H673" s="75"/>
      <c r="I673" s="875"/>
      <c r="J673" s="188">
        <v>5468</v>
      </c>
      <c r="K673" s="76" t="s">
        <v>8770</v>
      </c>
      <c r="L673" s="118">
        <v>1672234</v>
      </c>
      <c r="M673" s="118">
        <v>5327970</v>
      </c>
      <c r="N673" s="118" t="s">
        <v>1640</v>
      </c>
      <c r="O673" s="67" t="s">
        <v>194</v>
      </c>
      <c r="P673" s="312">
        <v>1</v>
      </c>
      <c r="Q673" s="118" t="s">
        <v>8884</v>
      </c>
      <c r="R673" s="571" t="s">
        <v>8871</v>
      </c>
      <c r="S673" s="68" t="s">
        <v>16</v>
      </c>
      <c r="T673" s="1030" t="s">
        <v>5708</v>
      </c>
      <c r="U673" s="45" t="s">
        <v>8760</v>
      </c>
      <c r="V673" s="46" t="s">
        <v>9219</v>
      </c>
      <c r="W673" s="46" t="s">
        <v>37</v>
      </c>
      <c r="X673" s="47">
        <v>44400</v>
      </c>
      <c r="Y673" s="46"/>
      <c r="Z673" s="365"/>
      <c r="AA673" s="1107"/>
    </row>
    <row r="674" spans="1:27" ht="39" x14ac:dyDescent="0.25">
      <c r="A674" s="488"/>
      <c r="B674" s="131"/>
      <c r="C674" s="75"/>
      <c r="D674" s="568"/>
      <c r="E674" s="568"/>
      <c r="F674" s="143"/>
      <c r="G674" s="75"/>
      <c r="H674" s="75"/>
      <c r="I674" s="875"/>
      <c r="J674" s="188">
        <v>5469</v>
      </c>
      <c r="K674" s="76" t="s">
        <v>8771</v>
      </c>
      <c r="L674" s="118">
        <v>1672192</v>
      </c>
      <c r="M674" s="118">
        <v>5328182</v>
      </c>
      <c r="N674" s="118" t="s">
        <v>2864</v>
      </c>
      <c r="O674" s="67" t="s">
        <v>194</v>
      </c>
      <c r="P674" s="312">
        <v>1</v>
      </c>
      <c r="Q674" s="118" t="s">
        <v>8885</v>
      </c>
      <c r="R674" s="571" t="s">
        <v>8871</v>
      </c>
      <c r="S674" s="68" t="s">
        <v>16</v>
      </c>
      <c r="T674" s="1030" t="s">
        <v>8748</v>
      </c>
      <c r="U674" s="45" t="s">
        <v>8760</v>
      </c>
      <c r="V674" s="46" t="s">
        <v>9219</v>
      </c>
      <c r="W674" s="46" t="s">
        <v>37</v>
      </c>
      <c r="X674" s="47">
        <v>44400</v>
      </c>
      <c r="Y674" s="46"/>
      <c r="Z674" s="365"/>
      <c r="AA674" s="1107"/>
    </row>
    <row r="675" spans="1:27" ht="39" x14ac:dyDescent="0.25">
      <c r="A675" s="488"/>
      <c r="B675" s="131"/>
      <c r="C675" s="75"/>
      <c r="D675" s="568"/>
      <c r="E675" s="568"/>
      <c r="F675" s="143"/>
      <c r="G675" s="75"/>
      <c r="H675" s="75"/>
      <c r="I675" s="875"/>
      <c r="J675" s="188">
        <v>5470</v>
      </c>
      <c r="K675" s="76" t="s">
        <v>8772</v>
      </c>
      <c r="L675" s="118">
        <v>1672003</v>
      </c>
      <c r="M675" s="118">
        <v>5328644</v>
      </c>
      <c r="N675" s="118" t="s">
        <v>8334</v>
      </c>
      <c r="O675" s="67" t="s">
        <v>194</v>
      </c>
      <c r="P675" s="312">
        <v>1</v>
      </c>
      <c r="Q675" s="118" t="s">
        <v>8886</v>
      </c>
      <c r="R675" s="571" t="s">
        <v>8871</v>
      </c>
      <c r="S675" s="68" t="s">
        <v>16</v>
      </c>
      <c r="T675" s="1030" t="s">
        <v>8748</v>
      </c>
      <c r="U675" s="45" t="s">
        <v>8760</v>
      </c>
      <c r="V675" s="46" t="s">
        <v>9219</v>
      </c>
      <c r="W675" s="46" t="s">
        <v>37</v>
      </c>
      <c r="X675" s="47">
        <v>44400</v>
      </c>
      <c r="Y675" s="46"/>
      <c r="Z675" s="365"/>
      <c r="AA675" s="1107"/>
    </row>
    <row r="676" spans="1:27" ht="39" x14ac:dyDescent="0.25">
      <c r="A676" s="488"/>
      <c r="B676" s="131"/>
      <c r="C676" s="75"/>
      <c r="D676" s="568"/>
      <c r="E676" s="568"/>
      <c r="F676" s="143"/>
      <c r="G676" s="75"/>
      <c r="H676" s="75"/>
      <c r="I676" s="875"/>
      <c r="J676" s="188">
        <v>5471</v>
      </c>
      <c r="K676" s="76" t="s">
        <v>8773</v>
      </c>
      <c r="L676" s="118">
        <v>1671042</v>
      </c>
      <c r="M676" s="118">
        <v>5332562</v>
      </c>
      <c r="N676" s="118" t="s">
        <v>8381</v>
      </c>
      <c r="O676" s="67" t="s">
        <v>194</v>
      </c>
      <c r="P676" s="312">
        <v>1</v>
      </c>
      <c r="Q676" s="118" t="s">
        <v>8887</v>
      </c>
      <c r="R676" s="571" t="s">
        <v>8871</v>
      </c>
      <c r="S676" s="68" t="s">
        <v>16</v>
      </c>
      <c r="T676" s="1030" t="s">
        <v>604</v>
      </c>
      <c r="U676" s="45" t="s">
        <v>8760</v>
      </c>
      <c r="V676" s="46" t="s">
        <v>9219</v>
      </c>
      <c r="W676" s="46" t="s">
        <v>37</v>
      </c>
      <c r="X676" s="47">
        <v>44400</v>
      </c>
      <c r="Y676" s="46"/>
      <c r="Z676" s="365"/>
      <c r="AA676" s="1107"/>
    </row>
    <row r="677" spans="1:27" ht="39" x14ac:dyDescent="0.25">
      <c r="A677" s="488"/>
      <c r="B677" s="131"/>
      <c r="C677" s="75"/>
      <c r="D677" s="568"/>
      <c r="E677" s="568"/>
      <c r="F677" s="143"/>
      <c r="G677" s="75"/>
      <c r="H677" s="75"/>
      <c r="I677" s="875"/>
      <c r="J677" s="188">
        <v>5472</v>
      </c>
      <c r="K677" s="76" t="s">
        <v>8774</v>
      </c>
      <c r="L677" s="118">
        <v>1670889</v>
      </c>
      <c r="M677" s="118">
        <v>5332710</v>
      </c>
      <c r="N677" s="118" t="s">
        <v>8810</v>
      </c>
      <c r="O677" s="67" t="s">
        <v>194</v>
      </c>
      <c r="P677" s="312">
        <v>1</v>
      </c>
      <c r="Q677" s="118" t="s">
        <v>8888</v>
      </c>
      <c r="R677" s="571" t="s">
        <v>8871</v>
      </c>
      <c r="S677" s="68" t="s">
        <v>16</v>
      </c>
      <c r="T677" s="1030" t="s">
        <v>604</v>
      </c>
      <c r="U677" s="45" t="s">
        <v>8760</v>
      </c>
      <c r="V677" s="46" t="s">
        <v>9219</v>
      </c>
      <c r="W677" s="46" t="s">
        <v>37</v>
      </c>
      <c r="X677" s="47">
        <v>44400</v>
      </c>
      <c r="Y677" s="46"/>
      <c r="Z677" s="365"/>
      <c r="AA677" s="1107"/>
    </row>
    <row r="678" spans="1:27" ht="39" x14ac:dyDescent="0.25">
      <c r="A678" s="488"/>
      <c r="B678" s="131"/>
      <c r="C678" s="75"/>
      <c r="D678" s="568"/>
      <c r="E678" s="568"/>
      <c r="F678" s="143"/>
      <c r="G678" s="75"/>
      <c r="H678" s="75"/>
      <c r="I678" s="875"/>
      <c r="J678" s="188">
        <v>5473</v>
      </c>
      <c r="K678" s="76" t="s">
        <v>8775</v>
      </c>
      <c r="L678" s="118">
        <v>1670862</v>
      </c>
      <c r="M678" s="118">
        <v>5332923</v>
      </c>
      <c r="N678" s="118" t="s">
        <v>2717</v>
      </c>
      <c r="O678" s="67" t="s">
        <v>194</v>
      </c>
      <c r="P678" s="312">
        <v>1</v>
      </c>
      <c r="Q678" s="118" t="s">
        <v>8889</v>
      </c>
      <c r="R678" s="571" t="s">
        <v>8871</v>
      </c>
      <c r="S678" s="68" t="s">
        <v>16</v>
      </c>
      <c r="T678" s="1030" t="s">
        <v>58</v>
      </c>
      <c r="U678" s="45" t="s">
        <v>8760</v>
      </c>
      <c r="V678" s="46" t="s">
        <v>9219</v>
      </c>
      <c r="W678" s="46" t="s">
        <v>37</v>
      </c>
      <c r="X678" s="47">
        <v>44400</v>
      </c>
      <c r="Y678" s="46"/>
      <c r="Z678" s="365"/>
      <c r="AA678" s="1107"/>
    </row>
    <row r="679" spans="1:27" ht="39" x14ac:dyDescent="0.25">
      <c r="A679" s="488"/>
      <c r="B679" s="131"/>
      <c r="C679" s="75"/>
      <c r="D679" s="568"/>
      <c r="E679" s="568"/>
      <c r="F679" s="143"/>
      <c r="G679" s="75"/>
      <c r="H679" s="75"/>
      <c r="I679" s="875"/>
      <c r="J679" s="188">
        <v>5474</v>
      </c>
      <c r="K679" s="76" t="s">
        <v>8776</v>
      </c>
      <c r="L679" s="118">
        <v>1670771</v>
      </c>
      <c r="M679" s="118">
        <v>5333108</v>
      </c>
      <c r="N679" s="118" t="s">
        <v>8386</v>
      </c>
      <c r="O679" s="67" t="s">
        <v>194</v>
      </c>
      <c r="P679" s="312">
        <v>1</v>
      </c>
      <c r="Q679" s="118" t="s">
        <v>8890</v>
      </c>
      <c r="R679" s="571" t="s">
        <v>8871</v>
      </c>
      <c r="S679" s="68" t="s">
        <v>16</v>
      </c>
      <c r="T679" s="1030" t="s">
        <v>8589</v>
      </c>
      <c r="U679" s="45" t="s">
        <v>8760</v>
      </c>
      <c r="V679" s="46" t="s">
        <v>9219</v>
      </c>
      <c r="W679" s="46" t="s">
        <v>37</v>
      </c>
      <c r="X679" s="47">
        <v>44400</v>
      </c>
      <c r="Y679" s="46"/>
      <c r="Z679" s="365"/>
      <c r="AA679" s="1107"/>
    </row>
    <row r="680" spans="1:27" ht="39" x14ac:dyDescent="0.25">
      <c r="A680" s="488"/>
      <c r="B680" s="131"/>
      <c r="C680" s="75"/>
      <c r="D680" s="568"/>
      <c r="E680" s="568"/>
      <c r="F680" s="143"/>
      <c r="G680" s="75"/>
      <c r="H680" s="75"/>
      <c r="I680" s="875"/>
      <c r="J680" s="188">
        <v>5475</v>
      </c>
      <c r="K680" s="76" t="s">
        <v>8777</v>
      </c>
      <c r="L680" s="118">
        <v>1670630</v>
      </c>
      <c r="M680" s="118">
        <v>5333225</v>
      </c>
      <c r="N680" s="118" t="s">
        <v>8388</v>
      </c>
      <c r="O680" s="67" t="s">
        <v>194</v>
      </c>
      <c r="P680" s="312">
        <v>1</v>
      </c>
      <c r="Q680" s="118" t="s">
        <v>8891</v>
      </c>
      <c r="R680" s="571" t="s">
        <v>8871</v>
      </c>
      <c r="S680" s="68" t="s">
        <v>16</v>
      </c>
      <c r="T680" s="1030" t="s">
        <v>5708</v>
      </c>
      <c r="U680" s="45" t="s">
        <v>8760</v>
      </c>
      <c r="V680" s="46" t="s">
        <v>9219</v>
      </c>
      <c r="W680" s="46" t="s">
        <v>37</v>
      </c>
      <c r="X680" s="47">
        <v>44400</v>
      </c>
      <c r="Y680" s="46"/>
      <c r="Z680" s="365"/>
      <c r="AA680" s="1107"/>
    </row>
    <row r="681" spans="1:27" ht="39" x14ac:dyDescent="0.25">
      <c r="A681" s="488"/>
      <c r="B681" s="131"/>
      <c r="C681" s="75"/>
      <c r="D681" s="568"/>
      <c r="E681" s="568"/>
      <c r="F681" s="143"/>
      <c r="G681" s="75"/>
      <c r="H681" s="75"/>
      <c r="I681" s="875"/>
      <c r="J681" s="188">
        <v>5476</v>
      </c>
      <c r="K681" s="76" t="s">
        <v>8778</v>
      </c>
      <c r="L681" s="118">
        <v>1670472</v>
      </c>
      <c r="M681" s="118">
        <v>5333624</v>
      </c>
      <c r="N681" s="118" t="s">
        <v>8384</v>
      </c>
      <c r="O681" s="67" t="s">
        <v>194</v>
      </c>
      <c r="P681" s="312">
        <v>1</v>
      </c>
      <c r="Q681" s="118" t="s">
        <v>8892</v>
      </c>
      <c r="R681" s="571" t="s">
        <v>8871</v>
      </c>
      <c r="S681" s="68" t="s">
        <v>16</v>
      </c>
      <c r="T681" s="1030" t="s">
        <v>604</v>
      </c>
      <c r="U681" s="45" t="s">
        <v>8760</v>
      </c>
      <c r="V681" s="46" t="s">
        <v>9219</v>
      </c>
      <c r="W681" s="46" t="s">
        <v>37</v>
      </c>
      <c r="X681" s="47">
        <v>44400</v>
      </c>
      <c r="Y681" s="46"/>
      <c r="Z681" s="365"/>
      <c r="AA681" s="1107"/>
    </row>
    <row r="682" spans="1:27" ht="39" x14ac:dyDescent="0.25">
      <c r="A682" s="488"/>
      <c r="B682" s="131"/>
      <c r="C682" s="75"/>
      <c r="D682" s="568"/>
      <c r="E682" s="568"/>
      <c r="F682" s="143"/>
      <c r="G682" s="75"/>
      <c r="H682" s="75"/>
      <c r="I682" s="875"/>
      <c r="J682" s="188">
        <v>5477</v>
      </c>
      <c r="K682" s="76" t="s">
        <v>8779</v>
      </c>
      <c r="L682" s="118">
        <v>1670433</v>
      </c>
      <c r="M682" s="118">
        <v>5333787</v>
      </c>
      <c r="N682" s="118" t="s">
        <v>2717</v>
      </c>
      <c r="O682" s="67" t="s">
        <v>194</v>
      </c>
      <c r="P682" s="312">
        <v>1</v>
      </c>
      <c r="Q682" s="118" t="s">
        <v>8889</v>
      </c>
      <c r="R682" s="571" t="s">
        <v>8871</v>
      </c>
      <c r="S682" s="68" t="s">
        <v>16</v>
      </c>
      <c r="T682" s="1030" t="s">
        <v>604</v>
      </c>
      <c r="U682" s="45" t="s">
        <v>8760</v>
      </c>
      <c r="V682" s="46" t="s">
        <v>9219</v>
      </c>
      <c r="W682" s="46" t="s">
        <v>37</v>
      </c>
      <c r="X682" s="47">
        <v>44400</v>
      </c>
      <c r="Y682" s="46"/>
      <c r="Z682" s="365"/>
      <c r="AA682" s="1107"/>
    </row>
    <row r="683" spans="1:27" ht="39" x14ac:dyDescent="0.25">
      <c r="A683" s="488"/>
      <c r="B683" s="131"/>
      <c r="C683" s="75"/>
      <c r="D683" s="568"/>
      <c r="E683" s="568"/>
      <c r="F683" s="143"/>
      <c r="G683" s="75"/>
      <c r="H683" s="75"/>
      <c r="I683" s="875"/>
      <c r="J683" s="188">
        <v>5478</v>
      </c>
      <c r="K683" s="76" t="s">
        <v>8780</v>
      </c>
      <c r="L683" s="118">
        <v>1670371</v>
      </c>
      <c r="M683" s="118">
        <v>5333970</v>
      </c>
      <c r="N683" s="118" t="s">
        <v>8811</v>
      </c>
      <c r="O683" s="67" t="s">
        <v>194</v>
      </c>
      <c r="P683" s="312">
        <v>1</v>
      </c>
      <c r="Q683" s="118" t="s">
        <v>8893</v>
      </c>
      <c r="R683" s="571" t="s">
        <v>8871</v>
      </c>
      <c r="S683" s="68" t="s">
        <v>16</v>
      </c>
      <c r="T683" s="1030" t="s">
        <v>58</v>
      </c>
      <c r="U683" s="45" t="s">
        <v>8760</v>
      </c>
      <c r="V683" s="46" t="s">
        <v>9219</v>
      </c>
      <c r="W683" s="46" t="s">
        <v>37</v>
      </c>
      <c r="X683" s="47">
        <v>44400</v>
      </c>
      <c r="Y683" s="46"/>
      <c r="Z683" s="365"/>
      <c r="AA683" s="1107"/>
    </row>
    <row r="684" spans="1:27" ht="39" x14ac:dyDescent="0.25">
      <c r="A684" s="488"/>
      <c r="B684" s="131"/>
      <c r="C684" s="75"/>
      <c r="D684" s="568"/>
      <c r="E684" s="568"/>
      <c r="F684" s="143"/>
      <c r="G684" s="75"/>
      <c r="H684" s="75"/>
      <c r="I684" s="875"/>
      <c r="J684" s="188">
        <v>5479</v>
      </c>
      <c r="K684" s="76" t="s">
        <v>8781</v>
      </c>
      <c r="L684" s="118">
        <v>1670321</v>
      </c>
      <c r="M684" s="118">
        <v>5334104</v>
      </c>
      <c r="N684" s="118" t="s">
        <v>8701</v>
      </c>
      <c r="O684" s="67" t="s">
        <v>194</v>
      </c>
      <c r="P684" s="312">
        <v>1</v>
      </c>
      <c r="Q684" s="118" t="s">
        <v>8894</v>
      </c>
      <c r="R684" s="571" t="s">
        <v>8871</v>
      </c>
      <c r="S684" s="68" t="s">
        <v>16</v>
      </c>
      <c r="T684" s="1030" t="s">
        <v>8589</v>
      </c>
      <c r="U684" s="45" t="s">
        <v>8760</v>
      </c>
      <c r="V684" s="46" t="s">
        <v>9219</v>
      </c>
      <c r="W684" s="46" t="s">
        <v>37</v>
      </c>
      <c r="X684" s="47">
        <v>44400</v>
      </c>
      <c r="Y684" s="46"/>
      <c r="Z684" s="365"/>
      <c r="AA684" s="1107"/>
    </row>
    <row r="685" spans="1:27" ht="39" x14ac:dyDescent="0.25">
      <c r="A685" s="488"/>
      <c r="B685" s="131"/>
      <c r="C685" s="75"/>
      <c r="D685" s="568"/>
      <c r="E685" s="568"/>
      <c r="F685" s="143"/>
      <c r="G685" s="75"/>
      <c r="H685" s="75"/>
      <c r="I685" s="875"/>
      <c r="J685" s="188">
        <v>5480</v>
      </c>
      <c r="K685" s="76" t="s">
        <v>8782</v>
      </c>
      <c r="L685" s="118">
        <v>1670245</v>
      </c>
      <c r="M685" s="118">
        <v>5334262</v>
      </c>
      <c r="N685" s="118" t="s">
        <v>8812</v>
      </c>
      <c r="O685" s="67" t="s">
        <v>194</v>
      </c>
      <c r="P685" s="312">
        <v>1</v>
      </c>
      <c r="Q685" s="118" t="s">
        <v>8895</v>
      </c>
      <c r="R685" s="571" t="s">
        <v>8871</v>
      </c>
      <c r="S685" s="68" t="s">
        <v>16</v>
      </c>
      <c r="T685" s="1030" t="s">
        <v>5708</v>
      </c>
      <c r="U685" s="45" t="s">
        <v>8760</v>
      </c>
      <c r="V685" s="46" t="s">
        <v>9219</v>
      </c>
      <c r="W685" s="46" t="s">
        <v>37</v>
      </c>
      <c r="X685" s="47">
        <v>44400</v>
      </c>
      <c r="Y685" s="46"/>
      <c r="Z685" s="365"/>
      <c r="AA685" s="1107"/>
    </row>
    <row r="686" spans="1:27" ht="39" x14ac:dyDescent="0.25">
      <c r="A686" s="488"/>
      <c r="B686" s="131"/>
      <c r="C686" s="75"/>
      <c r="D686" s="568"/>
      <c r="E686" s="568"/>
      <c r="F686" s="143"/>
      <c r="G686" s="75"/>
      <c r="H686" s="75"/>
      <c r="I686" s="875"/>
      <c r="J686" s="188">
        <v>5481</v>
      </c>
      <c r="K686" s="76" t="s">
        <v>8783</v>
      </c>
      <c r="L686" s="118">
        <v>1670183</v>
      </c>
      <c r="M686" s="118">
        <v>5334386</v>
      </c>
      <c r="N686" s="118" t="s">
        <v>8813</v>
      </c>
      <c r="O686" s="67" t="s">
        <v>194</v>
      </c>
      <c r="P686" s="312">
        <v>1</v>
      </c>
      <c r="Q686" s="118" t="s">
        <v>8896</v>
      </c>
      <c r="R686" s="571" t="s">
        <v>8871</v>
      </c>
      <c r="S686" s="68" t="s">
        <v>16</v>
      </c>
      <c r="T686" s="1030" t="s">
        <v>5708</v>
      </c>
      <c r="U686" s="45" t="s">
        <v>8760</v>
      </c>
      <c r="V686" s="46" t="s">
        <v>9219</v>
      </c>
      <c r="W686" s="46" t="s">
        <v>37</v>
      </c>
      <c r="X686" s="47">
        <v>44400</v>
      </c>
      <c r="Y686" s="46"/>
      <c r="Z686" s="365"/>
      <c r="AA686" s="1107"/>
    </row>
    <row r="687" spans="1:27" ht="39" x14ac:dyDescent="0.25">
      <c r="A687" s="488"/>
      <c r="B687" s="131"/>
      <c r="C687" s="75"/>
      <c r="D687" s="568"/>
      <c r="E687" s="568"/>
      <c r="F687" s="143"/>
      <c r="G687" s="75"/>
      <c r="H687" s="75"/>
      <c r="I687" s="875"/>
      <c r="J687" s="188">
        <v>5482</v>
      </c>
      <c r="K687" s="76" t="s">
        <v>8784</v>
      </c>
      <c r="L687" s="118">
        <v>1670132</v>
      </c>
      <c r="M687" s="118">
        <v>5334519</v>
      </c>
      <c r="N687" s="118" t="s">
        <v>8814</v>
      </c>
      <c r="O687" s="67" t="s">
        <v>194</v>
      </c>
      <c r="P687" s="312">
        <v>1</v>
      </c>
      <c r="Q687" s="118" t="s">
        <v>8897</v>
      </c>
      <c r="R687" s="571" t="s">
        <v>8871</v>
      </c>
      <c r="S687" s="68" t="s">
        <v>16</v>
      </c>
      <c r="T687" s="1030" t="s">
        <v>8785</v>
      </c>
      <c r="U687" s="45" t="s">
        <v>8760</v>
      </c>
      <c r="V687" s="46" t="s">
        <v>9219</v>
      </c>
      <c r="W687" s="46" t="s">
        <v>37</v>
      </c>
      <c r="X687" s="47">
        <v>44400</v>
      </c>
      <c r="Y687" s="46"/>
      <c r="Z687" s="365"/>
      <c r="AA687" s="1107"/>
    </row>
    <row r="688" spans="1:27" ht="39" x14ac:dyDescent="0.25">
      <c r="A688" s="488"/>
      <c r="B688" s="131"/>
      <c r="C688" s="75"/>
      <c r="D688" s="568"/>
      <c r="E688" s="568"/>
      <c r="F688" s="143"/>
      <c r="G688" s="75"/>
      <c r="H688" s="75"/>
      <c r="I688" s="875"/>
      <c r="J688" s="188">
        <v>5483</v>
      </c>
      <c r="K688" s="76" t="s">
        <v>8786</v>
      </c>
      <c r="L688" s="118">
        <v>1670065</v>
      </c>
      <c r="M688" s="118">
        <v>5334699</v>
      </c>
      <c r="N688" s="118" t="s">
        <v>1640</v>
      </c>
      <c r="O688" s="67" t="s">
        <v>194</v>
      </c>
      <c r="P688" s="312">
        <v>1</v>
      </c>
      <c r="Q688" s="118" t="s">
        <v>8884</v>
      </c>
      <c r="R688" s="571" t="s">
        <v>8871</v>
      </c>
      <c r="S688" s="68" t="s">
        <v>16</v>
      </c>
      <c r="T688" s="1030" t="s">
        <v>5708</v>
      </c>
      <c r="U688" s="45" t="s">
        <v>8760</v>
      </c>
      <c r="V688" s="46" t="s">
        <v>9219</v>
      </c>
      <c r="W688" s="46" t="s">
        <v>37</v>
      </c>
      <c r="X688" s="47">
        <v>44400</v>
      </c>
      <c r="Y688" s="46"/>
      <c r="Z688" s="365"/>
      <c r="AA688" s="1107"/>
    </row>
    <row r="689" spans="1:27" ht="39" x14ac:dyDescent="0.25">
      <c r="A689" s="488"/>
      <c r="B689" s="131"/>
      <c r="C689" s="75"/>
      <c r="D689" s="568"/>
      <c r="E689" s="568"/>
      <c r="F689" s="143"/>
      <c r="G689" s="75"/>
      <c r="H689" s="75"/>
      <c r="I689" s="875"/>
      <c r="J689" s="188">
        <v>5484</v>
      </c>
      <c r="K689" s="76" t="s">
        <v>8787</v>
      </c>
      <c r="L689" s="118">
        <v>1670000</v>
      </c>
      <c r="M689" s="118">
        <v>5334856</v>
      </c>
      <c r="N689" s="118" t="s">
        <v>8815</v>
      </c>
      <c r="O689" s="67" t="s">
        <v>194</v>
      </c>
      <c r="P689" s="312">
        <v>1</v>
      </c>
      <c r="Q689" s="118" t="s">
        <v>8876</v>
      </c>
      <c r="R689" s="571" t="s">
        <v>8871</v>
      </c>
      <c r="S689" s="68" t="s">
        <v>16</v>
      </c>
      <c r="T689" s="1030" t="s">
        <v>8785</v>
      </c>
      <c r="U689" s="45" t="s">
        <v>8760</v>
      </c>
      <c r="V689" s="46" t="s">
        <v>9219</v>
      </c>
      <c r="W689" s="46" t="s">
        <v>37</v>
      </c>
      <c r="X689" s="47">
        <v>44400</v>
      </c>
      <c r="Y689" s="46"/>
      <c r="Z689" s="365"/>
      <c r="AA689" s="1107"/>
    </row>
    <row r="690" spans="1:27" ht="39" x14ac:dyDescent="0.25">
      <c r="A690" s="488"/>
      <c r="B690" s="131"/>
      <c r="C690" s="75"/>
      <c r="D690" s="568"/>
      <c r="E690" s="568"/>
      <c r="F690" s="143"/>
      <c r="G690" s="75"/>
      <c r="H690" s="75"/>
      <c r="I690" s="875"/>
      <c r="J690" s="188">
        <v>5485</v>
      </c>
      <c r="K690" s="76" t="s">
        <v>8788</v>
      </c>
      <c r="L690" s="118">
        <v>1669938</v>
      </c>
      <c r="M690" s="118">
        <v>5335004</v>
      </c>
      <c r="N690" s="118" t="s">
        <v>8815</v>
      </c>
      <c r="O690" s="67" t="s">
        <v>194</v>
      </c>
      <c r="P690" s="312">
        <v>1</v>
      </c>
      <c r="Q690" s="118" t="s">
        <v>8876</v>
      </c>
      <c r="R690" s="571" t="s">
        <v>8871</v>
      </c>
      <c r="S690" s="68" t="s">
        <v>16</v>
      </c>
      <c r="T690" s="1030" t="s">
        <v>5708</v>
      </c>
      <c r="U690" s="45" t="s">
        <v>8760</v>
      </c>
      <c r="V690" s="46" t="s">
        <v>9219</v>
      </c>
      <c r="W690" s="46" t="s">
        <v>37</v>
      </c>
      <c r="X690" s="47">
        <v>44400</v>
      </c>
      <c r="Y690" s="46"/>
      <c r="Z690" s="365"/>
      <c r="AA690" s="1107"/>
    </row>
    <row r="691" spans="1:27" ht="39" x14ac:dyDescent="0.25">
      <c r="A691" s="488"/>
      <c r="B691" s="131"/>
      <c r="C691" s="75"/>
      <c r="D691" s="568"/>
      <c r="E691" s="568"/>
      <c r="F691" s="143"/>
      <c r="G691" s="75"/>
      <c r="H691" s="75"/>
      <c r="I691" s="875"/>
      <c r="J691" s="188">
        <v>5486</v>
      </c>
      <c r="K691" s="76" t="s">
        <v>8789</v>
      </c>
      <c r="L691" s="118">
        <v>1669870</v>
      </c>
      <c r="M691" s="118">
        <v>5335135</v>
      </c>
      <c r="N691" s="118" t="s">
        <v>8815</v>
      </c>
      <c r="O691" s="67" t="s">
        <v>194</v>
      </c>
      <c r="P691" s="312">
        <v>1</v>
      </c>
      <c r="Q691" s="118" t="s">
        <v>8876</v>
      </c>
      <c r="R691" s="571" t="s">
        <v>8871</v>
      </c>
      <c r="S691" s="68" t="s">
        <v>16</v>
      </c>
      <c r="T691" s="1030" t="s">
        <v>604</v>
      </c>
      <c r="U691" s="45" t="s">
        <v>8760</v>
      </c>
      <c r="V691" s="46" t="s">
        <v>9219</v>
      </c>
      <c r="W691" s="46" t="s">
        <v>37</v>
      </c>
      <c r="X691" s="47">
        <v>44400</v>
      </c>
      <c r="Y691" s="46"/>
      <c r="Z691" s="365"/>
      <c r="AA691" s="1107"/>
    </row>
    <row r="692" spans="1:27" ht="39" x14ac:dyDescent="0.25">
      <c r="A692" s="488"/>
      <c r="B692" s="131"/>
      <c r="C692" s="75"/>
      <c r="D692" s="568"/>
      <c r="E692" s="568"/>
      <c r="F692" s="143"/>
      <c r="G692" s="75"/>
      <c r="H692" s="75"/>
      <c r="I692" s="875"/>
      <c r="J692" s="188">
        <v>5487</v>
      </c>
      <c r="K692" s="76" t="s">
        <v>8790</v>
      </c>
      <c r="L692" s="118">
        <v>1669814</v>
      </c>
      <c r="M692" s="118">
        <v>5335225</v>
      </c>
      <c r="N692" s="118" t="s">
        <v>2717</v>
      </c>
      <c r="O692" s="67" t="s">
        <v>194</v>
      </c>
      <c r="P692" s="312">
        <v>1</v>
      </c>
      <c r="Q692" s="118" t="s">
        <v>8889</v>
      </c>
      <c r="R692" s="571" t="s">
        <v>8871</v>
      </c>
      <c r="S692" s="68" t="s">
        <v>16</v>
      </c>
      <c r="T692" s="1030" t="s">
        <v>604</v>
      </c>
      <c r="U692" s="45" t="s">
        <v>8760</v>
      </c>
      <c r="V692" s="46" t="s">
        <v>9219</v>
      </c>
      <c r="W692" s="46" t="s">
        <v>37</v>
      </c>
      <c r="X692" s="47">
        <v>44400</v>
      </c>
      <c r="Y692" s="46"/>
      <c r="Z692" s="365"/>
      <c r="AA692" s="1107"/>
    </row>
    <row r="693" spans="1:27" ht="39" x14ac:dyDescent="0.25">
      <c r="A693" s="488"/>
      <c r="B693" s="131"/>
      <c r="C693" s="75"/>
      <c r="D693" s="568"/>
      <c r="E693" s="568"/>
      <c r="F693" s="143"/>
      <c r="G693" s="75"/>
      <c r="H693" s="75"/>
      <c r="I693" s="875"/>
      <c r="J693" s="188">
        <v>5488</v>
      </c>
      <c r="K693" s="76" t="s">
        <v>8791</v>
      </c>
      <c r="L693" s="118">
        <v>1669792</v>
      </c>
      <c r="M693" s="118">
        <v>5335439</v>
      </c>
      <c r="N693" s="118" t="s">
        <v>8377</v>
      </c>
      <c r="O693" s="67" t="s">
        <v>194</v>
      </c>
      <c r="P693" s="312">
        <v>1</v>
      </c>
      <c r="Q693" s="118" t="s">
        <v>8898</v>
      </c>
      <c r="R693" s="571" t="s">
        <v>8871</v>
      </c>
      <c r="S693" s="68" t="s">
        <v>16</v>
      </c>
      <c r="T693" s="1030" t="s">
        <v>8363</v>
      </c>
      <c r="U693" s="45" t="s">
        <v>8760</v>
      </c>
      <c r="V693" s="46" t="s">
        <v>9219</v>
      </c>
      <c r="W693" s="46" t="s">
        <v>37</v>
      </c>
      <c r="X693" s="47">
        <v>44400</v>
      </c>
      <c r="Y693" s="46"/>
      <c r="Z693" s="365"/>
      <c r="AA693" s="1107"/>
    </row>
    <row r="694" spans="1:27" ht="39" x14ac:dyDescent="0.25">
      <c r="A694" s="488"/>
      <c r="B694" s="131"/>
      <c r="C694" s="75"/>
      <c r="D694" s="568"/>
      <c r="E694" s="568"/>
      <c r="F694" s="143"/>
      <c r="G694" s="75"/>
      <c r="H694" s="75"/>
      <c r="I694" s="875"/>
      <c r="J694" s="188">
        <v>5489</v>
      </c>
      <c r="K694" s="76" t="s">
        <v>8792</v>
      </c>
      <c r="L694" s="118">
        <v>1673023</v>
      </c>
      <c r="M694" s="118">
        <v>5328327</v>
      </c>
      <c r="N694" s="118" t="s">
        <v>8385</v>
      </c>
      <c r="O694" s="67" t="s">
        <v>194</v>
      </c>
      <c r="P694" s="312">
        <v>1</v>
      </c>
      <c r="Q694" s="118" t="s">
        <v>8899</v>
      </c>
      <c r="R694" s="571" t="s">
        <v>8871</v>
      </c>
      <c r="S694" s="68" t="s">
        <v>16</v>
      </c>
      <c r="T694" s="1030" t="s">
        <v>4544</v>
      </c>
      <c r="U694" s="45" t="s">
        <v>8760</v>
      </c>
      <c r="V694" s="46" t="s">
        <v>9219</v>
      </c>
      <c r="W694" s="46" t="s">
        <v>37</v>
      </c>
      <c r="X694" s="47">
        <v>44400</v>
      </c>
      <c r="Y694" s="46"/>
      <c r="Z694" s="365"/>
      <c r="AA694" s="1107"/>
    </row>
    <row r="695" spans="1:27" ht="39" x14ac:dyDescent="0.25">
      <c r="A695" s="488"/>
      <c r="B695" s="131"/>
      <c r="C695" s="75"/>
      <c r="D695" s="568"/>
      <c r="E695" s="568"/>
      <c r="F695" s="143"/>
      <c r="G695" s="75"/>
      <c r="H695" s="75"/>
      <c r="I695" s="875"/>
      <c r="J695" s="188">
        <v>5490</v>
      </c>
      <c r="K695" s="76" t="s">
        <v>8793</v>
      </c>
      <c r="L695" s="118">
        <v>1672857</v>
      </c>
      <c r="M695" s="118">
        <v>5328502</v>
      </c>
      <c r="N695" s="118" t="s">
        <v>4503</v>
      </c>
      <c r="O695" s="67" t="s">
        <v>194</v>
      </c>
      <c r="P695" s="312">
        <v>1</v>
      </c>
      <c r="Q695" s="118" t="s">
        <v>8900</v>
      </c>
      <c r="R695" s="571" t="s">
        <v>8871</v>
      </c>
      <c r="S695" s="68" t="s">
        <v>16</v>
      </c>
      <c r="T695" s="1030" t="s">
        <v>8748</v>
      </c>
      <c r="U695" s="45" t="s">
        <v>8760</v>
      </c>
      <c r="V695" s="46" t="s">
        <v>9219</v>
      </c>
      <c r="W695" s="46" t="s">
        <v>37</v>
      </c>
      <c r="X695" s="47">
        <v>44400</v>
      </c>
      <c r="Y695" s="46"/>
      <c r="Z695" s="365"/>
      <c r="AA695" s="1107"/>
    </row>
    <row r="696" spans="1:27" ht="39" x14ac:dyDescent="0.25">
      <c r="A696" s="488"/>
      <c r="B696" s="131"/>
      <c r="C696" s="75"/>
      <c r="D696" s="568"/>
      <c r="E696" s="568"/>
      <c r="F696" s="143"/>
      <c r="G696" s="75"/>
      <c r="H696" s="75"/>
      <c r="I696" s="875"/>
      <c r="J696" s="188">
        <v>5491</v>
      </c>
      <c r="K696" s="76" t="s">
        <v>8794</v>
      </c>
      <c r="L696" s="118">
        <v>1672830</v>
      </c>
      <c r="M696" s="118">
        <v>5328668</v>
      </c>
      <c r="N696" s="118" t="s">
        <v>4503</v>
      </c>
      <c r="O696" s="67" t="s">
        <v>194</v>
      </c>
      <c r="P696" s="312">
        <v>1</v>
      </c>
      <c r="Q696" s="118" t="s">
        <v>8900</v>
      </c>
      <c r="R696" s="571" t="s">
        <v>8871</v>
      </c>
      <c r="S696" s="68" t="s">
        <v>16</v>
      </c>
      <c r="T696" s="1030" t="s">
        <v>8748</v>
      </c>
      <c r="U696" s="45" t="s">
        <v>8760</v>
      </c>
      <c r="V696" s="46" t="s">
        <v>9219</v>
      </c>
      <c r="W696" s="46" t="s">
        <v>37</v>
      </c>
      <c r="X696" s="47">
        <v>44400</v>
      </c>
      <c r="Y696" s="46"/>
      <c r="Z696" s="365"/>
      <c r="AA696" s="1107"/>
    </row>
    <row r="697" spans="1:27" ht="39" x14ac:dyDescent="0.25">
      <c r="A697" s="488"/>
      <c r="B697" s="131"/>
      <c r="C697" s="75"/>
      <c r="D697" s="568"/>
      <c r="E697" s="568"/>
      <c r="F697" s="143"/>
      <c r="G697" s="75"/>
      <c r="H697" s="75"/>
      <c r="I697" s="875"/>
      <c r="J697" s="188">
        <v>5492</v>
      </c>
      <c r="K697" s="76" t="s">
        <v>8795</v>
      </c>
      <c r="L697" s="118">
        <v>1672799</v>
      </c>
      <c r="M697" s="118">
        <v>5328865</v>
      </c>
      <c r="N697" s="118" t="s">
        <v>1448</v>
      </c>
      <c r="O697" s="67" t="s">
        <v>194</v>
      </c>
      <c r="P697" s="312">
        <v>1</v>
      </c>
      <c r="Q697" s="118" t="s">
        <v>8901</v>
      </c>
      <c r="R697" s="571" t="s">
        <v>8871</v>
      </c>
      <c r="S697" s="68" t="s">
        <v>16</v>
      </c>
      <c r="T697" s="1030" t="s">
        <v>8796</v>
      </c>
      <c r="U697" s="45" t="s">
        <v>8760</v>
      </c>
      <c r="V697" s="46" t="s">
        <v>9219</v>
      </c>
      <c r="W697" s="46" t="s">
        <v>37</v>
      </c>
      <c r="X697" s="47">
        <v>44400</v>
      </c>
      <c r="Y697" s="46"/>
      <c r="Z697" s="365"/>
      <c r="AA697" s="1107"/>
    </row>
    <row r="698" spans="1:27" ht="39" x14ac:dyDescent="0.25">
      <c r="A698" s="488"/>
      <c r="B698" s="131"/>
      <c r="C698" s="75"/>
      <c r="D698" s="568"/>
      <c r="E698" s="568"/>
      <c r="F698" s="143"/>
      <c r="G698" s="75"/>
      <c r="H698" s="75"/>
      <c r="I698" s="875"/>
      <c r="J698" s="188">
        <v>5493</v>
      </c>
      <c r="K698" s="76" t="s">
        <v>8797</v>
      </c>
      <c r="L698" s="118">
        <v>1672762</v>
      </c>
      <c r="M698" s="118">
        <v>5328932</v>
      </c>
      <c r="N698" s="118" t="s">
        <v>8815</v>
      </c>
      <c r="O698" s="67" t="s">
        <v>194</v>
      </c>
      <c r="P698" s="312">
        <v>1</v>
      </c>
      <c r="Q698" s="118" t="s">
        <v>8876</v>
      </c>
      <c r="R698" s="571" t="s">
        <v>8871</v>
      </c>
      <c r="S698" s="68" t="s">
        <v>16</v>
      </c>
      <c r="T698" s="1030" t="s">
        <v>8727</v>
      </c>
      <c r="U698" s="45" t="s">
        <v>8760</v>
      </c>
      <c r="V698" s="46" t="s">
        <v>9219</v>
      </c>
      <c r="W698" s="46" t="s">
        <v>37</v>
      </c>
      <c r="X698" s="47">
        <v>44400</v>
      </c>
      <c r="Y698" s="46"/>
      <c r="Z698" s="365"/>
      <c r="AA698" s="1107"/>
    </row>
    <row r="699" spans="1:27" ht="39.75" thickBot="1" x14ac:dyDescent="0.3">
      <c r="A699" s="489"/>
      <c r="B699" s="133"/>
      <c r="C699" s="78"/>
      <c r="D699" s="569"/>
      <c r="E699" s="569"/>
      <c r="F699" s="144"/>
      <c r="G699" s="78"/>
      <c r="H699" s="78"/>
      <c r="I699" s="876"/>
      <c r="J699" s="192">
        <v>5494</v>
      </c>
      <c r="K699" s="79" t="s">
        <v>8798</v>
      </c>
      <c r="L699" s="119">
        <v>1672710</v>
      </c>
      <c r="M699" s="119">
        <v>5329111</v>
      </c>
      <c r="N699" s="119" t="s">
        <v>8809</v>
      </c>
      <c r="O699" s="69" t="s">
        <v>194</v>
      </c>
      <c r="P699" s="233">
        <v>1</v>
      </c>
      <c r="Q699" s="119" t="s">
        <v>8883</v>
      </c>
      <c r="R699" s="323" t="s">
        <v>8871</v>
      </c>
      <c r="S699" s="71" t="s">
        <v>16</v>
      </c>
      <c r="T699" s="1031" t="s">
        <v>8748</v>
      </c>
      <c r="U699" s="51" t="s">
        <v>8760</v>
      </c>
      <c r="V699" s="52" t="s">
        <v>9219</v>
      </c>
      <c r="W699" s="52" t="s">
        <v>37</v>
      </c>
      <c r="X699" s="53">
        <v>44400</v>
      </c>
      <c r="Y699" s="52"/>
      <c r="Z699" s="367"/>
      <c r="AA699" s="653"/>
    </row>
    <row r="700" spans="1:27" s="871" customFormat="1" ht="27" thickBot="1" x14ac:dyDescent="0.3">
      <c r="A700" s="1041" t="s">
        <v>1855</v>
      </c>
      <c r="B700" s="589" t="s">
        <v>1855</v>
      </c>
      <c r="C700" s="110">
        <v>37</v>
      </c>
      <c r="D700" s="638" t="s">
        <v>57</v>
      </c>
      <c r="E700" s="638"/>
      <c r="F700" s="110" t="s">
        <v>155</v>
      </c>
      <c r="G700" s="354" t="s">
        <v>1238</v>
      </c>
      <c r="H700" s="84"/>
      <c r="I700" s="124"/>
      <c r="J700" s="89">
        <v>803</v>
      </c>
      <c r="K700" s="396" t="s">
        <v>1861</v>
      </c>
      <c r="L700" s="265">
        <v>1678150.4284000001</v>
      </c>
      <c r="M700" s="265">
        <v>5626048.1677000001</v>
      </c>
      <c r="N700" s="109" t="s">
        <v>4590</v>
      </c>
      <c r="O700" s="109" t="s">
        <v>194</v>
      </c>
      <c r="P700" s="109">
        <v>4</v>
      </c>
      <c r="Q700" s="109" t="s">
        <v>4597</v>
      </c>
      <c r="R700" s="396" t="s">
        <v>4125</v>
      </c>
      <c r="S700" s="90" t="s">
        <v>16</v>
      </c>
      <c r="T700" s="446" t="s">
        <v>4591</v>
      </c>
      <c r="U700" s="208" t="s">
        <v>4592</v>
      </c>
      <c r="V700" s="208" t="s">
        <v>1868</v>
      </c>
      <c r="W700" s="208" t="s">
        <v>37</v>
      </c>
      <c r="X700" s="209">
        <v>44215</v>
      </c>
      <c r="Y700" s="208"/>
      <c r="Z700" s="364"/>
      <c r="AA700" s="1109"/>
    </row>
    <row r="701" spans="1:27" s="871" customFormat="1" ht="27" thickBot="1" x14ac:dyDescent="0.3">
      <c r="A701" s="648" t="s">
        <v>878</v>
      </c>
      <c r="B701" s="598" t="s">
        <v>5507</v>
      </c>
      <c r="C701" s="248">
        <v>681</v>
      </c>
      <c r="D701" s="595" t="s">
        <v>53</v>
      </c>
      <c r="E701" s="595" t="s">
        <v>52</v>
      </c>
      <c r="F701" s="248" t="s">
        <v>5508</v>
      </c>
      <c r="G701" s="249" t="s">
        <v>1972</v>
      </c>
      <c r="H701" s="248"/>
      <c r="I701" s="634"/>
      <c r="J701" s="425">
        <v>676</v>
      </c>
      <c r="K701" s="472" t="s">
        <v>3820</v>
      </c>
      <c r="L701" s="934">
        <v>1482144.1931</v>
      </c>
      <c r="M701" s="934">
        <v>5198471.5691</v>
      </c>
      <c r="N701" s="426" t="s">
        <v>4274</v>
      </c>
      <c r="O701" s="426" t="s">
        <v>61</v>
      </c>
      <c r="P701" s="426" t="s">
        <v>419</v>
      </c>
      <c r="Q701" s="426" t="s">
        <v>9151</v>
      </c>
      <c r="R701" s="472" t="s">
        <v>4125</v>
      </c>
      <c r="S701" s="427" t="s">
        <v>16</v>
      </c>
      <c r="T701" s="846" t="s">
        <v>883</v>
      </c>
      <c r="U701" s="499" t="s">
        <v>4278</v>
      </c>
      <c r="V701" s="152" t="s">
        <v>884</v>
      </c>
      <c r="W701" s="152" t="s">
        <v>37</v>
      </c>
      <c r="X701" s="170">
        <v>44210</v>
      </c>
      <c r="Y701" s="152"/>
      <c r="Z701" s="361"/>
      <c r="AA701" s="1112"/>
    </row>
    <row r="702" spans="1:27" s="871" customFormat="1" ht="26.25" x14ac:dyDescent="0.25">
      <c r="A702" s="488" t="s">
        <v>878</v>
      </c>
      <c r="B702" s="131" t="s">
        <v>878</v>
      </c>
      <c r="C702" s="75">
        <v>680</v>
      </c>
      <c r="D702" s="568" t="s">
        <v>53</v>
      </c>
      <c r="E702" s="568" t="s">
        <v>52</v>
      </c>
      <c r="F702" s="75" t="s">
        <v>879</v>
      </c>
      <c r="G702" s="143" t="s">
        <v>1972</v>
      </c>
      <c r="H702" s="75"/>
      <c r="I702" s="121"/>
      <c r="J702" s="188">
        <v>677</v>
      </c>
      <c r="K702" s="76" t="s">
        <v>3832</v>
      </c>
      <c r="L702" s="915">
        <v>1495450.8017</v>
      </c>
      <c r="M702" s="915">
        <v>5205071.2043000003</v>
      </c>
      <c r="N702" s="118" t="s">
        <v>4275</v>
      </c>
      <c r="O702" s="118" t="s">
        <v>5</v>
      </c>
      <c r="P702" s="118">
        <v>1</v>
      </c>
      <c r="Q702" s="118" t="s">
        <v>8963</v>
      </c>
      <c r="R702" s="76" t="s">
        <v>4277</v>
      </c>
      <c r="S702" s="77" t="s">
        <v>16</v>
      </c>
      <c r="T702" s="847" t="s">
        <v>24</v>
      </c>
      <c r="U702" s="137" t="s">
        <v>4278</v>
      </c>
      <c r="V702" s="137" t="s">
        <v>884</v>
      </c>
      <c r="W702" s="137" t="s">
        <v>37</v>
      </c>
      <c r="X702" s="139">
        <v>44210</v>
      </c>
      <c r="Y702" s="137"/>
      <c r="Z702" s="358"/>
      <c r="AA702" s="1110"/>
    </row>
    <row r="703" spans="1:27" s="871" customFormat="1" ht="27" thickBot="1" x14ac:dyDescent="0.3">
      <c r="A703" s="1047"/>
      <c r="B703" s="323"/>
      <c r="C703" s="69"/>
      <c r="D703" s="857"/>
      <c r="E703" s="857"/>
      <c r="F703" s="144"/>
      <c r="G703" s="78"/>
      <c r="H703" s="78"/>
      <c r="I703" s="429"/>
      <c r="J703" s="192">
        <v>678</v>
      </c>
      <c r="K703" s="79" t="s">
        <v>3833</v>
      </c>
      <c r="L703" s="916">
        <v>1495562.0941000001</v>
      </c>
      <c r="M703" s="916">
        <v>5205126.5760000004</v>
      </c>
      <c r="N703" s="119" t="s">
        <v>4276</v>
      </c>
      <c r="O703" s="119" t="s">
        <v>5</v>
      </c>
      <c r="P703" s="119">
        <v>1</v>
      </c>
      <c r="Q703" s="119" t="s">
        <v>8964</v>
      </c>
      <c r="R703" s="79" t="s">
        <v>4277</v>
      </c>
      <c r="S703" s="80" t="s">
        <v>16</v>
      </c>
      <c r="T703" s="848" t="s">
        <v>24</v>
      </c>
      <c r="U703" s="155" t="s">
        <v>4278</v>
      </c>
      <c r="V703" s="155" t="s">
        <v>884</v>
      </c>
      <c r="W703" s="155" t="s">
        <v>37</v>
      </c>
      <c r="X703" s="172">
        <v>44210</v>
      </c>
      <c r="Y703" s="155"/>
      <c r="Z703" s="362"/>
      <c r="AA703" s="1111"/>
    </row>
    <row r="704" spans="1:27" s="871" customFormat="1" ht="39.75" thickBot="1" x14ac:dyDescent="0.3">
      <c r="A704" s="635" t="s">
        <v>5283</v>
      </c>
      <c r="B704" s="316" t="s">
        <v>5194</v>
      </c>
      <c r="C704" s="254">
        <v>379</v>
      </c>
      <c r="D704" s="597" t="s">
        <v>52</v>
      </c>
      <c r="E704" s="597" t="s">
        <v>53</v>
      </c>
      <c r="F704" s="145" t="s">
        <v>4679</v>
      </c>
      <c r="G704" s="125" t="s">
        <v>1973</v>
      </c>
      <c r="H704" s="125"/>
      <c r="I704" s="247"/>
      <c r="J704" s="189">
        <v>985</v>
      </c>
      <c r="K704" s="355" t="s">
        <v>8556</v>
      </c>
      <c r="L704" s="911">
        <v>1922309.8406</v>
      </c>
      <c r="M704" s="911">
        <v>5594966.5872999998</v>
      </c>
      <c r="N704" s="126">
        <v>1.8</v>
      </c>
      <c r="O704" s="126" t="s">
        <v>5</v>
      </c>
      <c r="P704" s="126">
        <v>1</v>
      </c>
      <c r="Q704" s="126" t="s">
        <v>9093</v>
      </c>
      <c r="R704" s="355" t="s">
        <v>9092</v>
      </c>
      <c r="S704" s="134" t="s">
        <v>16</v>
      </c>
      <c r="T704" s="446" t="s">
        <v>8363</v>
      </c>
      <c r="U704" s="208" t="s">
        <v>8557</v>
      </c>
      <c r="V704" s="208" t="s">
        <v>8558</v>
      </c>
      <c r="W704" s="208" t="s">
        <v>37</v>
      </c>
      <c r="X704" s="209">
        <v>44392</v>
      </c>
      <c r="Y704" s="208"/>
      <c r="Z704" s="364"/>
      <c r="AA704" s="1109"/>
    </row>
    <row r="705" spans="1:27" s="871" customFormat="1" ht="52.5" thickBot="1" x14ac:dyDescent="0.3">
      <c r="A705" s="1042"/>
      <c r="B705" s="346"/>
      <c r="C705" s="258"/>
      <c r="D705" s="778"/>
      <c r="E705" s="778"/>
      <c r="F705" s="146"/>
      <c r="G705" s="95"/>
      <c r="H705" s="95"/>
      <c r="I705" s="122"/>
      <c r="J705" s="191">
        <v>989</v>
      </c>
      <c r="K705" s="359" t="s">
        <v>8566</v>
      </c>
      <c r="L705" s="913">
        <v>1919925.8862000001</v>
      </c>
      <c r="M705" s="913">
        <v>5591477.2714</v>
      </c>
      <c r="N705" s="108">
        <v>0.2</v>
      </c>
      <c r="O705" s="108" t="s">
        <v>8567</v>
      </c>
      <c r="P705" s="108">
        <v>1</v>
      </c>
      <c r="Q705" s="108" t="s">
        <v>1523</v>
      </c>
      <c r="R705" s="359" t="s">
        <v>9092</v>
      </c>
      <c r="S705" s="98" t="s">
        <v>85</v>
      </c>
      <c r="T705" s="446" t="s">
        <v>4131</v>
      </c>
      <c r="U705" s="208" t="s">
        <v>8568</v>
      </c>
      <c r="V705" s="208" t="s">
        <v>8558</v>
      </c>
      <c r="W705" s="208" t="s">
        <v>37</v>
      </c>
      <c r="X705" s="209">
        <v>44393</v>
      </c>
      <c r="Y705" s="208"/>
      <c r="Z705" s="364"/>
      <c r="AA705" s="1109"/>
    </row>
    <row r="706" spans="1:27" s="871" customFormat="1" ht="39.75" thickBot="1" x14ac:dyDescent="0.3">
      <c r="A706" s="1042"/>
      <c r="B706" s="346"/>
      <c r="C706" s="258"/>
      <c r="D706" s="778"/>
      <c r="E706" s="778"/>
      <c r="F706" s="146"/>
      <c r="G706" s="95"/>
      <c r="H706" s="95"/>
      <c r="I706" s="122"/>
      <c r="J706" s="191">
        <v>990</v>
      </c>
      <c r="K706" s="359" t="s">
        <v>8569</v>
      </c>
      <c r="L706" s="913">
        <v>1920472.5778999999</v>
      </c>
      <c r="M706" s="913">
        <v>5593516.5093999999</v>
      </c>
      <c r="N706" s="108" t="s">
        <v>5159</v>
      </c>
      <c r="O706" s="108" t="s">
        <v>194</v>
      </c>
      <c r="P706" s="108">
        <v>1</v>
      </c>
      <c r="Q706" s="108" t="s">
        <v>9095</v>
      </c>
      <c r="R706" s="359" t="s">
        <v>9094</v>
      </c>
      <c r="S706" s="98" t="s">
        <v>16</v>
      </c>
      <c r="T706" s="446" t="s">
        <v>5708</v>
      </c>
      <c r="U706" s="208" t="s">
        <v>8557</v>
      </c>
      <c r="V706" s="208" t="s">
        <v>8558</v>
      </c>
      <c r="W706" s="208" t="s">
        <v>37</v>
      </c>
      <c r="X706" s="209">
        <v>44393</v>
      </c>
      <c r="Y706" s="208"/>
      <c r="Z706" s="364"/>
      <c r="AA706" s="1109"/>
    </row>
    <row r="707" spans="1:27" s="871" customFormat="1" ht="39.75" thickBot="1" x14ac:dyDescent="0.3">
      <c r="A707" s="1042"/>
      <c r="B707" s="346"/>
      <c r="C707" s="258"/>
      <c r="D707" s="778"/>
      <c r="E707" s="778"/>
      <c r="F707" s="146"/>
      <c r="G707" s="95"/>
      <c r="H707" s="95"/>
      <c r="I707" s="122"/>
      <c r="J707" s="191">
        <v>991</v>
      </c>
      <c r="K707" s="359" t="s">
        <v>6685</v>
      </c>
      <c r="L707" s="913">
        <v>1915104.3990100001</v>
      </c>
      <c r="M707" s="913">
        <v>5588755.8402800001</v>
      </c>
      <c r="N707" s="108" t="s">
        <v>8571</v>
      </c>
      <c r="O707" s="108" t="s">
        <v>193</v>
      </c>
      <c r="P707" s="108">
        <v>1</v>
      </c>
      <c r="Q707" s="108" t="s">
        <v>8571</v>
      </c>
      <c r="R707" s="359" t="s">
        <v>9091</v>
      </c>
      <c r="S707" s="98" t="s">
        <v>85</v>
      </c>
      <c r="T707" s="446" t="s">
        <v>3606</v>
      </c>
      <c r="U707" s="208" t="s">
        <v>8574</v>
      </c>
      <c r="V707" s="208" t="s">
        <v>6328</v>
      </c>
      <c r="W707" s="208" t="s">
        <v>37</v>
      </c>
      <c r="X707" s="209">
        <v>44393</v>
      </c>
      <c r="Y707" s="208"/>
      <c r="Z707" s="364"/>
      <c r="AA707" s="1109"/>
    </row>
    <row r="708" spans="1:27" s="871" customFormat="1" ht="39.75" thickBot="1" x14ac:dyDescent="0.3">
      <c r="A708" s="1042"/>
      <c r="B708" s="346"/>
      <c r="C708" s="258"/>
      <c r="D708" s="778"/>
      <c r="E708" s="778"/>
      <c r="F708" s="146"/>
      <c r="G708" s="95"/>
      <c r="H708" s="95"/>
      <c r="I708" s="122"/>
      <c r="J708" s="191">
        <v>992</v>
      </c>
      <c r="K708" s="359" t="s">
        <v>8573</v>
      </c>
      <c r="L708" s="913">
        <v>1908825.2837</v>
      </c>
      <c r="M708" s="913">
        <v>5577466.2821000004</v>
      </c>
      <c r="N708" s="108">
        <v>3</v>
      </c>
      <c r="O708" s="108" t="s">
        <v>193</v>
      </c>
      <c r="P708" s="108">
        <v>1</v>
      </c>
      <c r="Q708" s="108">
        <v>3</v>
      </c>
      <c r="R708" s="359" t="s">
        <v>9091</v>
      </c>
      <c r="S708" s="98" t="s">
        <v>16</v>
      </c>
      <c r="T708" s="446" t="s">
        <v>3606</v>
      </c>
      <c r="U708" s="208" t="s">
        <v>8572</v>
      </c>
      <c r="V708" s="208" t="s">
        <v>6328</v>
      </c>
      <c r="W708" s="208" t="s">
        <v>37</v>
      </c>
      <c r="X708" s="209">
        <v>44393</v>
      </c>
      <c r="Y708" s="208"/>
      <c r="Z708" s="364"/>
      <c r="AA708" s="1109"/>
    </row>
    <row r="709" spans="1:27" ht="52.5" thickBot="1" x14ac:dyDescent="0.3">
      <c r="A709" s="336"/>
      <c r="B709" s="196"/>
      <c r="C709" s="96"/>
      <c r="D709" s="566"/>
      <c r="E709" s="566"/>
      <c r="F709" s="147"/>
      <c r="G709" s="96"/>
      <c r="H709" s="96"/>
      <c r="I709" s="881"/>
      <c r="J709" s="190">
        <v>5495</v>
      </c>
      <c r="K709" s="357" t="s">
        <v>9089</v>
      </c>
      <c r="L709" s="912">
        <v>1923799.4639999999</v>
      </c>
      <c r="M709" s="912">
        <v>5595794.0055</v>
      </c>
      <c r="N709" s="96">
        <v>0.6</v>
      </c>
      <c r="O709" s="96" t="s">
        <v>8567</v>
      </c>
      <c r="P709" s="96">
        <v>1</v>
      </c>
      <c r="Q709" s="96" t="s">
        <v>1475</v>
      </c>
      <c r="R709" s="357" t="s">
        <v>9092</v>
      </c>
      <c r="S709" s="100" t="s">
        <v>85</v>
      </c>
      <c r="T709" s="838" t="s">
        <v>4131</v>
      </c>
      <c r="U709" s="92" t="s">
        <v>9090</v>
      </c>
      <c r="V709" s="208" t="s">
        <v>8558</v>
      </c>
      <c r="W709" s="208" t="s">
        <v>37</v>
      </c>
      <c r="X709" s="93">
        <v>44411</v>
      </c>
      <c r="Y709" s="92"/>
      <c r="Z709" s="368"/>
      <c r="AA709" s="1108"/>
    </row>
    <row r="710" spans="1:27" s="871" customFormat="1" ht="39.75" thickBot="1" x14ac:dyDescent="0.3">
      <c r="A710" s="345" t="s">
        <v>1850</v>
      </c>
      <c r="B710" s="331" t="s">
        <v>1850</v>
      </c>
      <c r="C710" s="83">
        <v>32</v>
      </c>
      <c r="D710" s="588" t="s">
        <v>57</v>
      </c>
      <c r="E710" s="588"/>
      <c r="F710" s="83" t="s">
        <v>155</v>
      </c>
      <c r="G710" s="268" t="s">
        <v>1238</v>
      </c>
      <c r="H710" s="83"/>
      <c r="I710" s="395"/>
      <c r="J710" s="87">
        <v>800</v>
      </c>
      <c r="K710" s="360" t="s">
        <v>1857</v>
      </c>
      <c r="L710" s="198">
        <v>1667261.48</v>
      </c>
      <c r="M710" s="198">
        <v>5646515.8629000001</v>
      </c>
      <c r="N710" s="83" t="s">
        <v>4589</v>
      </c>
      <c r="O710" s="199" t="s">
        <v>194</v>
      </c>
      <c r="P710" s="199">
        <v>2</v>
      </c>
      <c r="Q710" s="199" t="s">
        <v>4590</v>
      </c>
      <c r="R710" s="360" t="s">
        <v>8983</v>
      </c>
      <c r="S710" s="88" t="s">
        <v>16</v>
      </c>
      <c r="T710" s="446" t="s">
        <v>4591</v>
      </c>
      <c r="U710" s="208" t="s">
        <v>4592</v>
      </c>
      <c r="V710" s="208" t="s">
        <v>1868</v>
      </c>
      <c r="W710" s="208" t="s">
        <v>37</v>
      </c>
      <c r="X710" s="209">
        <v>44215</v>
      </c>
      <c r="Y710" s="208"/>
      <c r="Z710" s="364"/>
      <c r="AA710" s="1109"/>
    </row>
    <row r="711" spans="1:27" s="871" customFormat="1" ht="39.75" thickBot="1" x14ac:dyDescent="0.3">
      <c r="A711" s="341" t="s">
        <v>1919</v>
      </c>
      <c r="B711" s="181" t="s">
        <v>1928</v>
      </c>
      <c r="C711" s="125">
        <v>186</v>
      </c>
      <c r="D711" s="585" t="s">
        <v>57</v>
      </c>
      <c r="E711" s="585"/>
      <c r="F711" s="125" t="s">
        <v>668</v>
      </c>
      <c r="G711" s="145" t="s">
        <v>1238</v>
      </c>
      <c r="H711" s="125"/>
      <c r="I711" s="247"/>
      <c r="J711" s="189">
        <v>856</v>
      </c>
      <c r="K711" s="355" t="s">
        <v>1920</v>
      </c>
      <c r="L711" s="911">
        <v>1833296.0256000001</v>
      </c>
      <c r="M711" s="911">
        <v>5636152.3934000004</v>
      </c>
      <c r="N711" s="126" t="s">
        <v>4970</v>
      </c>
      <c r="O711" s="126" t="s">
        <v>193</v>
      </c>
      <c r="P711" s="126">
        <v>6</v>
      </c>
      <c r="Q711" s="126" t="s">
        <v>8962</v>
      </c>
      <c r="R711" s="355" t="s">
        <v>8982</v>
      </c>
      <c r="S711" s="134" t="s">
        <v>16</v>
      </c>
      <c r="T711" s="446" t="s">
        <v>4591</v>
      </c>
      <c r="U711" s="207" t="s">
        <v>4972</v>
      </c>
      <c r="V711" s="208" t="s">
        <v>1927</v>
      </c>
      <c r="W711" s="208" t="s">
        <v>37</v>
      </c>
      <c r="X711" s="209">
        <v>44243</v>
      </c>
      <c r="Y711" s="208"/>
      <c r="Z711" s="364"/>
      <c r="AA711" s="1109"/>
    </row>
    <row r="712" spans="1:27" s="871" customFormat="1" ht="52.5" thickBot="1" x14ac:dyDescent="0.3">
      <c r="A712" s="648" t="s">
        <v>1919</v>
      </c>
      <c r="B712" s="577" t="s">
        <v>1893</v>
      </c>
      <c r="C712" s="483">
        <v>253</v>
      </c>
      <c r="D712" s="995" t="s">
        <v>57</v>
      </c>
      <c r="E712" s="995"/>
      <c r="F712" s="249" t="s">
        <v>668</v>
      </c>
      <c r="G712" s="249" t="s">
        <v>1238</v>
      </c>
      <c r="H712" s="248"/>
      <c r="I712" s="634"/>
      <c r="J712" s="425">
        <v>857</v>
      </c>
      <c r="K712" s="472" t="s">
        <v>4947</v>
      </c>
      <c r="L712" s="934">
        <v>1833552.7315</v>
      </c>
      <c r="M712" s="934">
        <v>5635494.9587000003</v>
      </c>
      <c r="N712" s="426" t="s">
        <v>4971</v>
      </c>
      <c r="O712" s="426" t="s">
        <v>193</v>
      </c>
      <c r="P712" s="426">
        <v>5</v>
      </c>
      <c r="Q712" s="426" t="s">
        <v>8961</v>
      </c>
      <c r="R712" s="472" t="s">
        <v>8982</v>
      </c>
      <c r="S712" s="427" t="s">
        <v>85</v>
      </c>
      <c r="T712" s="446" t="s">
        <v>4591</v>
      </c>
      <c r="U712" s="207" t="s">
        <v>4973</v>
      </c>
      <c r="V712" s="208" t="s">
        <v>1927</v>
      </c>
      <c r="W712" s="208" t="s">
        <v>37</v>
      </c>
      <c r="X712" s="209">
        <v>44243</v>
      </c>
      <c r="Y712" s="208"/>
      <c r="Z712" s="364"/>
      <c r="AA712" s="1109"/>
    </row>
    <row r="713" spans="1:27" s="871" customFormat="1" ht="39.75" thickBot="1" x14ac:dyDescent="0.3">
      <c r="A713" s="1039" t="s">
        <v>1910</v>
      </c>
      <c r="B713" s="628" t="s">
        <v>1910</v>
      </c>
      <c r="C713" s="379">
        <v>358</v>
      </c>
      <c r="D713" s="861" t="s">
        <v>57</v>
      </c>
      <c r="E713" s="861" t="s">
        <v>53</v>
      </c>
      <c r="F713" s="268" t="s">
        <v>668</v>
      </c>
      <c r="G713" s="268" t="s">
        <v>4996</v>
      </c>
      <c r="H713" s="83"/>
      <c r="I713" s="331"/>
      <c r="J713" s="87">
        <v>295</v>
      </c>
      <c r="K713" s="360" t="s">
        <v>1911</v>
      </c>
      <c r="L713" s="198">
        <v>2025559.8491</v>
      </c>
      <c r="M713" s="198">
        <v>5720332.9528000001</v>
      </c>
      <c r="N713" s="199" t="s">
        <v>2157</v>
      </c>
      <c r="O713" s="199" t="s">
        <v>193</v>
      </c>
      <c r="P713" s="199">
        <v>2</v>
      </c>
      <c r="Q713" s="199" t="s">
        <v>8960</v>
      </c>
      <c r="R713" s="360" t="s">
        <v>8981</v>
      </c>
      <c r="S713" s="88" t="s">
        <v>16</v>
      </c>
      <c r="T713" s="207" t="s">
        <v>2158</v>
      </c>
      <c r="U713" s="208" t="s">
        <v>2159</v>
      </c>
      <c r="V713" s="208" t="s">
        <v>1918</v>
      </c>
      <c r="W713" s="208" t="s">
        <v>37</v>
      </c>
      <c r="X713" s="209">
        <v>44116</v>
      </c>
      <c r="Y713" s="208"/>
      <c r="Z713" s="364"/>
      <c r="AA713" s="1109"/>
    </row>
    <row r="714" spans="1:27" s="871" customFormat="1" ht="78" thickBot="1" x14ac:dyDescent="0.3">
      <c r="A714" s="1041" t="s">
        <v>8452</v>
      </c>
      <c r="B714" s="589" t="s">
        <v>8453</v>
      </c>
      <c r="C714" s="110">
        <v>506</v>
      </c>
      <c r="D714" s="638" t="s">
        <v>52</v>
      </c>
      <c r="E714" s="638"/>
      <c r="F714" s="149" t="s">
        <v>668</v>
      </c>
      <c r="G714" s="149" t="s">
        <v>1263</v>
      </c>
      <c r="H714" s="84"/>
      <c r="I714" s="124"/>
      <c r="J714" s="89">
        <v>979</v>
      </c>
      <c r="K714" s="396" t="s">
        <v>8451</v>
      </c>
      <c r="L714" s="265">
        <v>1508539.1240999999</v>
      </c>
      <c r="M714" s="265">
        <v>5357001.4035</v>
      </c>
      <c r="N714" s="109" t="s">
        <v>8454</v>
      </c>
      <c r="O714" s="109" t="s">
        <v>2761</v>
      </c>
      <c r="P714" s="109" t="s">
        <v>419</v>
      </c>
      <c r="Q714" s="109" t="s">
        <v>1116</v>
      </c>
      <c r="R714" s="396" t="s">
        <v>8447</v>
      </c>
      <c r="S714" s="90" t="s">
        <v>85</v>
      </c>
      <c r="T714" s="446" t="s">
        <v>2882</v>
      </c>
      <c r="U714" s="208" t="s">
        <v>10157</v>
      </c>
      <c r="V714" s="208" t="s">
        <v>8461</v>
      </c>
      <c r="W714" s="208" t="s">
        <v>37</v>
      </c>
      <c r="X714" s="209">
        <v>44491</v>
      </c>
      <c r="Y714" s="208"/>
      <c r="Z714" s="364"/>
      <c r="AA714" s="1109"/>
    </row>
    <row r="715" spans="1:27" s="869" customFormat="1" ht="39" x14ac:dyDescent="0.25">
      <c r="A715" s="487" t="s">
        <v>2839</v>
      </c>
      <c r="B715" s="128" t="s">
        <v>2839</v>
      </c>
      <c r="C715" s="72">
        <v>193</v>
      </c>
      <c r="D715" s="586" t="s">
        <v>57</v>
      </c>
      <c r="E715" s="586"/>
      <c r="F715" s="140" t="s">
        <v>668</v>
      </c>
      <c r="G715" s="140" t="s">
        <v>1238</v>
      </c>
      <c r="H715" s="72"/>
      <c r="I715" s="873"/>
      <c r="J715" s="187">
        <v>5325</v>
      </c>
      <c r="K715" s="65">
        <v>206</v>
      </c>
      <c r="L715" s="914">
        <v>1926902.4927999999</v>
      </c>
      <c r="M715" s="914">
        <v>5783259.2105999999</v>
      </c>
      <c r="N715" s="866" t="s">
        <v>8425</v>
      </c>
      <c r="O715" s="64" t="s">
        <v>194</v>
      </c>
      <c r="P715" s="64">
        <v>1</v>
      </c>
      <c r="Q715" s="72" t="s">
        <v>8952</v>
      </c>
      <c r="R715" s="73" t="s">
        <v>8959</v>
      </c>
      <c r="S715" s="66" t="s">
        <v>16</v>
      </c>
      <c r="T715" s="854" t="s">
        <v>8363</v>
      </c>
      <c r="U715" s="40" t="s">
        <v>8441</v>
      </c>
      <c r="V715" s="40" t="s">
        <v>6540</v>
      </c>
      <c r="W715" s="40" t="s">
        <v>37</v>
      </c>
      <c r="X715" s="41">
        <v>44390</v>
      </c>
      <c r="Y715" s="40"/>
      <c r="Z715" s="54"/>
      <c r="AA715" s="652"/>
    </row>
    <row r="716" spans="1:27" s="869" customFormat="1" ht="39" x14ac:dyDescent="0.25">
      <c r="A716" s="488"/>
      <c r="B716" s="131"/>
      <c r="C716" s="75"/>
      <c r="D716" s="568"/>
      <c r="E716" s="568"/>
      <c r="F716" s="143"/>
      <c r="G716" s="143"/>
      <c r="H716" s="75"/>
      <c r="I716" s="875"/>
      <c r="J716" s="188">
        <v>5326</v>
      </c>
      <c r="K716" s="695">
        <v>204</v>
      </c>
      <c r="L716" s="915">
        <v>1926692.4654000001</v>
      </c>
      <c r="M716" s="915">
        <v>5783128.7747999998</v>
      </c>
      <c r="N716" s="560" t="s">
        <v>406</v>
      </c>
      <c r="O716" s="67" t="s">
        <v>194</v>
      </c>
      <c r="P716" s="67">
        <v>1</v>
      </c>
      <c r="Q716" s="75" t="s">
        <v>8953</v>
      </c>
      <c r="R716" s="76" t="s">
        <v>8959</v>
      </c>
      <c r="S716" s="68" t="s">
        <v>16</v>
      </c>
      <c r="T716" s="855" t="s">
        <v>8363</v>
      </c>
      <c r="U716" s="46" t="s">
        <v>8441</v>
      </c>
      <c r="V716" s="46" t="s">
        <v>6540</v>
      </c>
      <c r="W716" s="46" t="s">
        <v>37</v>
      </c>
      <c r="X716" s="47">
        <v>44390</v>
      </c>
      <c r="Y716" s="46"/>
      <c r="Z716" s="365"/>
      <c r="AA716" s="1107"/>
    </row>
    <row r="717" spans="1:27" s="869" customFormat="1" ht="39" x14ac:dyDescent="0.25">
      <c r="A717" s="488"/>
      <c r="B717" s="131"/>
      <c r="C717" s="75"/>
      <c r="D717" s="568"/>
      <c r="E717" s="568"/>
      <c r="F717" s="143"/>
      <c r="G717" s="143"/>
      <c r="H717" s="75"/>
      <c r="I717" s="875"/>
      <c r="J717" s="188">
        <v>5327</v>
      </c>
      <c r="K717" s="695">
        <v>210</v>
      </c>
      <c r="L717" s="915">
        <v>1926902.5939</v>
      </c>
      <c r="M717" s="915">
        <v>5783189.1385000004</v>
      </c>
      <c r="N717" s="560" t="s">
        <v>406</v>
      </c>
      <c r="O717" s="67" t="s">
        <v>194</v>
      </c>
      <c r="P717" s="67">
        <v>1</v>
      </c>
      <c r="Q717" s="75" t="s">
        <v>8953</v>
      </c>
      <c r="R717" s="76" t="s">
        <v>8959</v>
      </c>
      <c r="S717" s="68" t="s">
        <v>16</v>
      </c>
      <c r="T717" s="855" t="s">
        <v>8363</v>
      </c>
      <c r="U717" s="46" t="s">
        <v>8441</v>
      </c>
      <c r="V717" s="46" t="s">
        <v>6540</v>
      </c>
      <c r="W717" s="46" t="s">
        <v>37</v>
      </c>
      <c r="X717" s="47">
        <v>44390</v>
      </c>
      <c r="Y717" s="46"/>
      <c r="Z717" s="365"/>
      <c r="AA717" s="1107"/>
    </row>
    <row r="718" spans="1:27" s="869" customFormat="1" ht="39" x14ac:dyDescent="0.25">
      <c r="A718" s="488"/>
      <c r="B718" s="131"/>
      <c r="C718" s="75"/>
      <c r="D718" s="568"/>
      <c r="E718" s="568"/>
      <c r="F718" s="143"/>
      <c r="G718" s="143"/>
      <c r="H718" s="75"/>
      <c r="I718" s="875"/>
      <c r="J718" s="188">
        <v>5328</v>
      </c>
      <c r="K718" s="695">
        <v>211</v>
      </c>
      <c r="L718" s="915">
        <v>1926772.605</v>
      </c>
      <c r="M718" s="915">
        <v>5783088.8486000001</v>
      </c>
      <c r="N718" s="560" t="s">
        <v>8426</v>
      </c>
      <c r="O718" s="67" t="s">
        <v>194</v>
      </c>
      <c r="P718" s="67">
        <v>1</v>
      </c>
      <c r="Q718" s="75" t="s">
        <v>8954</v>
      </c>
      <c r="R718" s="76" t="s">
        <v>8959</v>
      </c>
      <c r="S718" s="68" t="s">
        <v>16</v>
      </c>
      <c r="T718" s="855" t="s">
        <v>8363</v>
      </c>
      <c r="U718" s="46" t="s">
        <v>8441</v>
      </c>
      <c r="V718" s="46" t="s">
        <v>6540</v>
      </c>
      <c r="W718" s="46" t="s">
        <v>37</v>
      </c>
      <c r="X718" s="47">
        <v>44390</v>
      </c>
      <c r="Y718" s="46"/>
      <c r="Z718" s="365"/>
      <c r="AA718" s="1107"/>
    </row>
    <row r="719" spans="1:27" s="869" customFormat="1" ht="39" x14ac:dyDescent="0.25">
      <c r="A719" s="488"/>
      <c r="B719" s="131"/>
      <c r="C719" s="75"/>
      <c r="D719" s="568"/>
      <c r="E719" s="568"/>
      <c r="F719" s="143"/>
      <c r="G719" s="143"/>
      <c r="H719" s="75"/>
      <c r="I719" s="875"/>
      <c r="J719" s="188">
        <v>5329</v>
      </c>
      <c r="K719" s="695">
        <v>213</v>
      </c>
      <c r="L719" s="915">
        <v>1926592.5504999999</v>
      </c>
      <c r="M719" s="915">
        <v>5782998.4973999998</v>
      </c>
      <c r="N719" s="560" t="s">
        <v>8426</v>
      </c>
      <c r="O719" s="67" t="s">
        <v>194</v>
      </c>
      <c r="P719" s="67">
        <v>1</v>
      </c>
      <c r="Q719" s="75" t="s">
        <v>8954</v>
      </c>
      <c r="R719" s="76" t="s">
        <v>8959</v>
      </c>
      <c r="S719" s="68" t="s">
        <v>16</v>
      </c>
      <c r="T719" s="855" t="s">
        <v>8363</v>
      </c>
      <c r="U719" s="46" t="s">
        <v>8441</v>
      </c>
      <c r="V719" s="46" t="s">
        <v>6540</v>
      </c>
      <c r="W719" s="46" t="s">
        <v>37</v>
      </c>
      <c r="X719" s="47">
        <v>44390</v>
      </c>
      <c r="Y719" s="46"/>
      <c r="Z719" s="365"/>
      <c r="AA719" s="1107"/>
    </row>
    <row r="720" spans="1:27" s="869" customFormat="1" ht="39" x14ac:dyDescent="0.25">
      <c r="A720" s="488"/>
      <c r="B720" s="131"/>
      <c r="C720" s="75"/>
      <c r="D720" s="568"/>
      <c r="E720" s="568"/>
      <c r="F720" s="143"/>
      <c r="G720" s="143"/>
      <c r="H720" s="75"/>
      <c r="I720" s="875"/>
      <c r="J720" s="188">
        <v>5330</v>
      </c>
      <c r="K720" s="695">
        <v>109</v>
      </c>
      <c r="L720" s="915">
        <v>1926052.4457</v>
      </c>
      <c r="M720" s="915">
        <v>5782687.4040999999</v>
      </c>
      <c r="N720" s="560" t="s">
        <v>8426</v>
      </c>
      <c r="O720" s="67" t="s">
        <v>194</v>
      </c>
      <c r="P720" s="67">
        <v>1</v>
      </c>
      <c r="Q720" s="75" t="s">
        <v>8954</v>
      </c>
      <c r="R720" s="76" t="s">
        <v>8959</v>
      </c>
      <c r="S720" s="68" t="s">
        <v>16</v>
      </c>
      <c r="T720" s="855" t="s">
        <v>8427</v>
      </c>
      <c r="U720" s="46" t="s">
        <v>8441</v>
      </c>
      <c r="V720" s="46" t="s">
        <v>6540</v>
      </c>
      <c r="W720" s="46" t="s">
        <v>37</v>
      </c>
      <c r="X720" s="47">
        <v>44390</v>
      </c>
      <c r="Y720" s="46"/>
      <c r="Z720" s="365"/>
      <c r="AA720" s="1107"/>
    </row>
    <row r="721" spans="1:27" s="869" customFormat="1" ht="39" x14ac:dyDescent="0.25">
      <c r="A721" s="488"/>
      <c r="B721" s="131"/>
      <c r="C721" s="75"/>
      <c r="D721" s="568"/>
      <c r="E721" s="568"/>
      <c r="F721" s="143"/>
      <c r="G721" s="143"/>
      <c r="H721" s="75"/>
      <c r="I721" s="875"/>
      <c r="J721" s="188">
        <v>5331</v>
      </c>
      <c r="K721" s="695">
        <v>109.1</v>
      </c>
      <c r="L721" s="915">
        <v>1926172.5105000001</v>
      </c>
      <c r="M721" s="915">
        <v>5782727.6172000002</v>
      </c>
      <c r="N721" s="560" t="s">
        <v>8428</v>
      </c>
      <c r="O721" s="67" t="s">
        <v>194</v>
      </c>
      <c r="P721" s="67">
        <v>1</v>
      </c>
      <c r="Q721" s="75" t="s">
        <v>8955</v>
      </c>
      <c r="R721" s="76" t="s">
        <v>8959</v>
      </c>
      <c r="S721" s="68" t="s">
        <v>16</v>
      </c>
      <c r="T721" s="855" t="s">
        <v>8412</v>
      </c>
      <c r="U721" s="46" t="s">
        <v>8441</v>
      </c>
      <c r="V721" s="46" t="s">
        <v>6540</v>
      </c>
      <c r="W721" s="46" t="s">
        <v>37</v>
      </c>
      <c r="X721" s="47">
        <v>44390</v>
      </c>
      <c r="Y721" s="46"/>
      <c r="Z721" s="365"/>
      <c r="AA721" s="1107"/>
    </row>
    <row r="722" spans="1:27" s="869" customFormat="1" ht="39" x14ac:dyDescent="0.25">
      <c r="A722" s="488"/>
      <c r="B722" s="131"/>
      <c r="C722" s="75"/>
      <c r="D722" s="568"/>
      <c r="E722" s="568"/>
      <c r="F722" s="143"/>
      <c r="G722" s="143"/>
      <c r="H722" s="75"/>
      <c r="I722" s="875"/>
      <c r="J722" s="188">
        <v>5332</v>
      </c>
      <c r="K722" s="695">
        <v>123</v>
      </c>
      <c r="L722" s="915">
        <v>1925240.8155</v>
      </c>
      <c r="M722" s="915">
        <v>5783246.8140000002</v>
      </c>
      <c r="N722" s="560" t="s">
        <v>8429</v>
      </c>
      <c r="O722" s="67" t="s">
        <v>194</v>
      </c>
      <c r="P722" s="67">
        <v>1</v>
      </c>
      <c r="Q722" s="75" t="s">
        <v>8956</v>
      </c>
      <c r="R722" s="76" t="s">
        <v>8959</v>
      </c>
      <c r="S722" s="68" t="s">
        <v>16</v>
      </c>
      <c r="T722" s="855" t="s">
        <v>638</v>
      </c>
      <c r="U722" s="46" t="s">
        <v>8441</v>
      </c>
      <c r="V722" s="46" t="s">
        <v>6540</v>
      </c>
      <c r="W722" s="46" t="s">
        <v>37</v>
      </c>
      <c r="X722" s="47">
        <v>44390</v>
      </c>
      <c r="Y722" s="46"/>
      <c r="Z722" s="365"/>
      <c r="AA722" s="1107"/>
    </row>
    <row r="723" spans="1:27" s="869" customFormat="1" ht="39" x14ac:dyDescent="0.25">
      <c r="A723" s="488"/>
      <c r="B723" s="131"/>
      <c r="C723" s="75"/>
      <c r="D723" s="568"/>
      <c r="E723" s="568"/>
      <c r="F723" s="143"/>
      <c r="G723" s="143"/>
      <c r="H723" s="75"/>
      <c r="I723" s="875"/>
      <c r="J723" s="188">
        <v>5333</v>
      </c>
      <c r="K723" s="695">
        <v>113.1</v>
      </c>
      <c r="L723" s="915">
        <v>1924970.7583999999</v>
      </c>
      <c r="M723" s="915">
        <v>5783096.2734000003</v>
      </c>
      <c r="N723" s="560" t="s">
        <v>8430</v>
      </c>
      <c r="O723" s="67" t="s">
        <v>194</v>
      </c>
      <c r="P723" s="67">
        <v>1</v>
      </c>
      <c r="Q723" s="75" t="s">
        <v>8954</v>
      </c>
      <c r="R723" s="76" t="s">
        <v>8959</v>
      </c>
      <c r="S723" s="68" t="s">
        <v>16</v>
      </c>
      <c r="T723" s="855"/>
      <c r="U723" s="46" t="s">
        <v>8441</v>
      </c>
      <c r="V723" s="46" t="s">
        <v>6540</v>
      </c>
      <c r="W723" s="46" t="s">
        <v>37</v>
      </c>
      <c r="X723" s="47">
        <v>44390</v>
      </c>
      <c r="Y723" s="46"/>
      <c r="Z723" s="365"/>
      <c r="AA723" s="1107"/>
    </row>
    <row r="724" spans="1:27" s="869" customFormat="1" ht="39" x14ac:dyDescent="0.25">
      <c r="A724" s="488"/>
      <c r="B724" s="131"/>
      <c r="C724" s="75"/>
      <c r="D724" s="568"/>
      <c r="E724" s="568"/>
      <c r="F724" s="143"/>
      <c r="G724" s="143"/>
      <c r="H724" s="75"/>
      <c r="I724" s="875"/>
      <c r="J724" s="188">
        <v>5334</v>
      </c>
      <c r="K724" s="695">
        <v>113.2</v>
      </c>
      <c r="L724" s="915">
        <v>1924920.7655</v>
      </c>
      <c r="M724" s="915">
        <v>5783056.1608999996</v>
      </c>
      <c r="N724" s="560" t="s">
        <v>406</v>
      </c>
      <c r="O724" s="67" t="s">
        <v>194</v>
      </c>
      <c r="P724" s="67">
        <v>1</v>
      </c>
      <c r="Q724" s="75" t="s">
        <v>8953</v>
      </c>
      <c r="R724" s="76" t="s">
        <v>8959</v>
      </c>
      <c r="S724" s="68" t="s">
        <v>16</v>
      </c>
      <c r="T724" s="855"/>
      <c r="U724" s="46" t="s">
        <v>8441</v>
      </c>
      <c r="V724" s="46" t="s">
        <v>6540</v>
      </c>
      <c r="W724" s="46" t="s">
        <v>37</v>
      </c>
      <c r="X724" s="47">
        <v>44390</v>
      </c>
      <c r="Y724" s="46"/>
      <c r="Z724" s="365"/>
      <c r="AA724" s="1107"/>
    </row>
    <row r="725" spans="1:27" s="869" customFormat="1" ht="39" x14ac:dyDescent="0.25">
      <c r="A725" s="488"/>
      <c r="B725" s="131"/>
      <c r="C725" s="75"/>
      <c r="D725" s="568"/>
      <c r="E725" s="568"/>
      <c r="F725" s="143"/>
      <c r="G725" s="143"/>
      <c r="H725" s="75"/>
      <c r="I725" s="875"/>
      <c r="J725" s="188">
        <v>5335</v>
      </c>
      <c r="K725" s="695">
        <v>113.3</v>
      </c>
      <c r="L725" s="915">
        <v>1924900.7741</v>
      </c>
      <c r="M725" s="915">
        <v>5783036.1118999999</v>
      </c>
      <c r="N725" s="560" t="s">
        <v>406</v>
      </c>
      <c r="O725" s="67" t="s">
        <v>194</v>
      </c>
      <c r="P725" s="67">
        <v>1</v>
      </c>
      <c r="Q725" s="75" t="s">
        <v>8957</v>
      </c>
      <c r="R725" s="76" t="s">
        <v>8959</v>
      </c>
      <c r="S725" s="68" t="s">
        <v>16</v>
      </c>
      <c r="T725" s="855"/>
      <c r="U725" s="46" t="s">
        <v>8441</v>
      </c>
      <c r="V725" s="46" t="s">
        <v>6540</v>
      </c>
      <c r="W725" s="46" t="s">
        <v>37</v>
      </c>
      <c r="X725" s="47">
        <v>44390</v>
      </c>
      <c r="Y725" s="46"/>
      <c r="Z725" s="365"/>
      <c r="AA725" s="1107"/>
    </row>
    <row r="726" spans="1:27" s="869" customFormat="1" ht="39" x14ac:dyDescent="0.25">
      <c r="A726" s="488"/>
      <c r="B726" s="131"/>
      <c r="C726" s="75"/>
      <c r="D726" s="568"/>
      <c r="E726" s="568"/>
      <c r="F726" s="143"/>
      <c r="G726" s="143"/>
      <c r="H726" s="75"/>
      <c r="I726" s="875"/>
      <c r="J726" s="188">
        <v>5336</v>
      </c>
      <c r="K726" s="695">
        <v>115.1</v>
      </c>
      <c r="L726" s="915">
        <v>1924540.6691999999</v>
      </c>
      <c r="M726" s="915">
        <v>5782855.4117000001</v>
      </c>
      <c r="N726" s="560" t="s">
        <v>1235</v>
      </c>
      <c r="O726" s="67" t="s">
        <v>194</v>
      </c>
      <c r="P726" s="67">
        <v>1</v>
      </c>
      <c r="Q726" s="75" t="s">
        <v>8958</v>
      </c>
      <c r="R726" s="76" t="s">
        <v>8959</v>
      </c>
      <c r="S726" s="68" t="s">
        <v>16</v>
      </c>
      <c r="T726" s="855" t="s">
        <v>604</v>
      </c>
      <c r="U726" s="46" t="s">
        <v>8441</v>
      </c>
      <c r="V726" s="46" t="s">
        <v>6540</v>
      </c>
      <c r="W726" s="46" t="s">
        <v>37</v>
      </c>
      <c r="X726" s="47">
        <v>44390</v>
      </c>
      <c r="Y726" s="46"/>
      <c r="Z726" s="365"/>
      <c r="AA726" s="1107"/>
    </row>
    <row r="727" spans="1:27" s="869" customFormat="1" ht="39" x14ac:dyDescent="0.25">
      <c r="A727" s="488"/>
      <c r="B727" s="131"/>
      <c r="C727" s="75"/>
      <c r="D727" s="568"/>
      <c r="E727" s="568"/>
      <c r="F727" s="143"/>
      <c r="G727" s="143"/>
      <c r="H727" s="75"/>
      <c r="I727" s="875"/>
      <c r="J727" s="188">
        <v>5337</v>
      </c>
      <c r="K727" s="695">
        <v>116</v>
      </c>
      <c r="L727" s="915">
        <v>1924270.5689000001</v>
      </c>
      <c r="M727" s="915">
        <v>5782734.9018999999</v>
      </c>
      <c r="N727" s="560" t="s">
        <v>8426</v>
      </c>
      <c r="O727" s="67" t="s">
        <v>194</v>
      </c>
      <c r="P727" s="67">
        <v>1</v>
      </c>
      <c r="Q727" s="75" t="s">
        <v>8954</v>
      </c>
      <c r="R727" s="76" t="s">
        <v>8959</v>
      </c>
      <c r="S727" s="68" t="s">
        <v>16</v>
      </c>
      <c r="T727" s="855"/>
      <c r="U727" s="46" t="s">
        <v>8441</v>
      </c>
      <c r="V727" s="46" t="s">
        <v>6540</v>
      </c>
      <c r="W727" s="46" t="s">
        <v>37</v>
      </c>
      <c r="X727" s="47">
        <v>44390</v>
      </c>
      <c r="Y727" s="46"/>
      <c r="Z727" s="365"/>
      <c r="AA727" s="1107"/>
    </row>
    <row r="728" spans="1:27" s="869" customFormat="1" ht="39.75" thickBot="1" x14ac:dyDescent="0.3">
      <c r="A728" s="489"/>
      <c r="B728" s="133"/>
      <c r="C728" s="78"/>
      <c r="D728" s="569"/>
      <c r="E728" s="569"/>
      <c r="F728" s="144"/>
      <c r="G728" s="144"/>
      <c r="H728" s="78"/>
      <c r="I728" s="876"/>
      <c r="J728" s="192">
        <v>5338</v>
      </c>
      <c r="K728" s="70">
        <v>124</v>
      </c>
      <c r="L728" s="916">
        <v>1924741.6769000001</v>
      </c>
      <c r="M728" s="916">
        <v>5782295.1299999999</v>
      </c>
      <c r="N728" s="867" t="s">
        <v>8426</v>
      </c>
      <c r="O728" s="69" t="s">
        <v>194</v>
      </c>
      <c r="P728" s="69">
        <v>1</v>
      </c>
      <c r="Q728" s="78" t="s">
        <v>8954</v>
      </c>
      <c r="R728" s="79" t="s">
        <v>8959</v>
      </c>
      <c r="S728" s="71" t="s">
        <v>16</v>
      </c>
      <c r="T728" s="828"/>
      <c r="U728" s="52" t="s">
        <v>8441</v>
      </c>
      <c r="V728" s="52" t="s">
        <v>6540</v>
      </c>
      <c r="W728" s="52" t="s">
        <v>37</v>
      </c>
      <c r="X728" s="53">
        <v>44390</v>
      </c>
      <c r="Y728" s="52"/>
      <c r="Z728" s="367"/>
      <c r="AA728" s="653"/>
    </row>
    <row r="729" spans="1:27" ht="39.75" thickBot="1" x14ac:dyDescent="0.3">
      <c r="A729" s="648" t="s">
        <v>5313</v>
      </c>
      <c r="B729" s="598" t="s">
        <v>7831</v>
      </c>
      <c r="C729" s="248">
        <v>264</v>
      </c>
      <c r="D729" s="595" t="s">
        <v>53</v>
      </c>
      <c r="E729" s="595" t="s">
        <v>52</v>
      </c>
      <c r="F729" s="249" t="s">
        <v>152</v>
      </c>
      <c r="G729" s="248" t="s">
        <v>1972</v>
      </c>
      <c r="H729" s="248"/>
      <c r="I729" s="885"/>
      <c r="J729" s="425">
        <v>5496</v>
      </c>
      <c r="K729" s="472" t="s">
        <v>9098</v>
      </c>
      <c r="L729" s="934">
        <v>1899193.0105999999</v>
      </c>
      <c r="M729" s="934">
        <v>5646183.1712999996</v>
      </c>
      <c r="N729" s="248" t="s">
        <v>9106</v>
      </c>
      <c r="O729" s="248" t="s">
        <v>2047</v>
      </c>
      <c r="P729" s="248">
        <v>1</v>
      </c>
      <c r="Q729" s="248" t="s">
        <v>9901</v>
      </c>
      <c r="R729" s="472" t="s">
        <v>9111</v>
      </c>
      <c r="S729" s="427" t="s">
        <v>85</v>
      </c>
      <c r="T729" s="838" t="s">
        <v>9112</v>
      </c>
      <c r="U729" s="92" t="s">
        <v>9113</v>
      </c>
      <c r="V729" s="92" t="s">
        <v>4859</v>
      </c>
      <c r="W729" s="92" t="s">
        <v>37</v>
      </c>
      <c r="X729" s="93">
        <v>44412</v>
      </c>
      <c r="Y729" s="92"/>
      <c r="Z729" s="368"/>
      <c r="AA729" s="1108"/>
    </row>
    <row r="730" spans="1:27" s="871" customFormat="1" ht="64.5" x14ac:dyDescent="0.25">
      <c r="A730" s="635" t="s">
        <v>1690</v>
      </c>
      <c r="B730" s="316" t="s">
        <v>1690</v>
      </c>
      <c r="C730" s="254">
        <v>318</v>
      </c>
      <c r="D730" s="597" t="s">
        <v>53</v>
      </c>
      <c r="E730" s="597" t="s">
        <v>52</v>
      </c>
      <c r="F730" s="145" t="s">
        <v>567</v>
      </c>
      <c r="G730" s="125" t="s">
        <v>1972</v>
      </c>
      <c r="H730" s="125"/>
      <c r="I730" s="247"/>
      <c r="J730" s="189">
        <v>5366</v>
      </c>
      <c r="K730" s="355" t="s">
        <v>8603</v>
      </c>
      <c r="L730" s="911">
        <v>1850482.0941999999</v>
      </c>
      <c r="M730" s="911">
        <v>5497156.8580999998</v>
      </c>
      <c r="N730" s="126" t="s">
        <v>8606</v>
      </c>
      <c r="O730" s="126" t="s">
        <v>61</v>
      </c>
      <c r="P730" s="126" t="s">
        <v>419</v>
      </c>
      <c r="Q730" s="126" t="s">
        <v>8609</v>
      </c>
      <c r="R730" s="355" t="s">
        <v>8595</v>
      </c>
      <c r="S730" s="344" t="s">
        <v>85</v>
      </c>
      <c r="T730" s="899" t="s">
        <v>8589</v>
      </c>
      <c r="U730" s="30" t="s">
        <v>8634</v>
      </c>
      <c r="V730" s="30" t="s">
        <v>8637</v>
      </c>
      <c r="W730" s="30" t="s">
        <v>37</v>
      </c>
      <c r="X730" s="900">
        <v>44398</v>
      </c>
      <c r="Y730" s="152"/>
      <c r="Z730" s="361"/>
      <c r="AA730" s="1112"/>
    </row>
    <row r="731" spans="1:27" s="871" customFormat="1" ht="64.5" x14ac:dyDescent="0.25">
      <c r="A731" s="1042"/>
      <c r="B731" s="346"/>
      <c r="C731" s="258"/>
      <c r="D731" s="778"/>
      <c r="E731" s="778"/>
      <c r="F731" s="146"/>
      <c r="G731" s="95"/>
      <c r="H731" s="95"/>
      <c r="I731" s="122"/>
      <c r="J731" s="191">
        <v>5367</v>
      </c>
      <c r="K731" s="359" t="s">
        <v>8604</v>
      </c>
      <c r="L731" s="913">
        <v>1853026.7871999999</v>
      </c>
      <c r="M731" s="913">
        <v>5499664.1788999997</v>
      </c>
      <c r="N731" s="108" t="s">
        <v>8607</v>
      </c>
      <c r="O731" s="108" t="s">
        <v>194</v>
      </c>
      <c r="P731" s="108">
        <v>1</v>
      </c>
      <c r="Q731" s="108" t="s">
        <v>8610</v>
      </c>
      <c r="R731" s="359" t="s">
        <v>8594</v>
      </c>
      <c r="S731" s="184" t="s">
        <v>85</v>
      </c>
      <c r="T731" s="901" t="s">
        <v>341</v>
      </c>
      <c r="U731" s="45" t="s">
        <v>8635</v>
      </c>
      <c r="V731" s="45" t="s">
        <v>8637</v>
      </c>
      <c r="W731" s="45" t="s">
        <v>37</v>
      </c>
      <c r="X731" s="895">
        <v>44398</v>
      </c>
      <c r="Y731" s="137"/>
      <c r="Z731" s="358"/>
      <c r="AA731" s="1110"/>
    </row>
    <row r="732" spans="1:27" s="871" customFormat="1" ht="65.25" thickBot="1" x14ac:dyDescent="0.3">
      <c r="A732" s="636"/>
      <c r="B732" s="315"/>
      <c r="C732" s="261"/>
      <c r="D732" s="581"/>
      <c r="E732" s="581"/>
      <c r="F732" s="147"/>
      <c r="G732" s="96"/>
      <c r="H732" s="96"/>
      <c r="I732" s="123"/>
      <c r="J732" s="190">
        <v>5368</v>
      </c>
      <c r="K732" s="357" t="s">
        <v>8605</v>
      </c>
      <c r="L732" s="912">
        <v>1853788.4449</v>
      </c>
      <c r="M732" s="912">
        <v>5500276.5965</v>
      </c>
      <c r="N732" s="107" t="s">
        <v>8608</v>
      </c>
      <c r="O732" s="107" t="s">
        <v>61</v>
      </c>
      <c r="P732" s="107" t="s">
        <v>419</v>
      </c>
      <c r="Q732" s="107" t="s">
        <v>8611</v>
      </c>
      <c r="R732" s="357" t="s">
        <v>8595</v>
      </c>
      <c r="S732" s="127" t="s">
        <v>16</v>
      </c>
      <c r="T732" s="853" t="s">
        <v>24</v>
      </c>
      <c r="U732" s="51" t="s">
        <v>8636</v>
      </c>
      <c r="V732" s="51" t="s">
        <v>8637</v>
      </c>
      <c r="W732" s="51" t="s">
        <v>37</v>
      </c>
      <c r="X732" s="902">
        <v>44398</v>
      </c>
      <c r="Y732" s="155"/>
      <c r="Z732" s="362"/>
      <c r="AA732" s="1111"/>
    </row>
    <row r="733" spans="1:27" s="869" customFormat="1" ht="52.5" thickBot="1" x14ac:dyDescent="0.3">
      <c r="A733" s="487" t="s">
        <v>8041</v>
      </c>
      <c r="B733" s="128" t="s">
        <v>8042</v>
      </c>
      <c r="C733" s="72">
        <v>292</v>
      </c>
      <c r="D733" s="586" t="s">
        <v>53</v>
      </c>
      <c r="E733" s="586"/>
      <c r="F733" s="129" t="s">
        <v>1604</v>
      </c>
      <c r="G733" s="231" t="s">
        <v>1974</v>
      </c>
      <c r="H733" s="586"/>
      <c r="I733" s="873"/>
      <c r="J733" s="83">
        <v>1137</v>
      </c>
      <c r="K733" s="360" t="s">
        <v>8043</v>
      </c>
      <c r="L733" s="198">
        <v>1737936.8444000001</v>
      </c>
      <c r="M733" s="198">
        <v>5428087.4945999999</v>
      </c>
      <c r="N733" s="83">
        <v>4</v>
      </c>
      <c r="O733" s="83" t="s">
        <v>5</v>
      </c>
      <c r="P733" s="83">
        <v>1</v>
      </c>
      <c r="Q733" s="840" t="s">
        <v>8044</v>
      </c>
      <c r="R733" s="360" t="s">
        <v>8045</v>
      </c>
      <c r="S733" s="88" t="s">
        <v>85</v>
      </c>
      <c r="T733" s="838" t="s">
        <v>261</v>
      </c>
      <c r="U733" s="92" t="s">
        <v>8046</v>
      </c>
      <c r="V733" s="92" t="s">
        <v>8047</v>
      </c>
      <c r="W733" s="834" t="s">
        <v>1380</v>
      </c>
      <c r="X733" s="93">
        <v>44364</v>
      </c>
      <c r="Y733" s="92"/>
      <c r="Z733" s="93">
        <v>44364</v>
      </c>
      <c r="AA733" s="1108" t="s">
        <v>37</v>
      </c>
    </row>
    <row r="734" spans="1:27" s="869" customFormat="1" ht="52.5" thickBot="1" x14ac:dyDescent="0.3">
      <c r="A734" s="488"/>
      <c r="B734" s="486"/>
      <c r="C734" s="407"/>
      <c r="D734" s="572"/>
      <c r="E734" s="572"/>
      <c r="F734" s="407"/>
      <c r="G734" s="407"/>
      <c r="H734" s="572"/>
      <c r="I734" s="875"/>
      <c r="J734" s="72">
        <v>1364</v>
      </c>
      <c r="K734" s="73" t="s">
        <v>8048</v>
      </c>
      <c r="L734" s="914">
        <v>1738192.5096</v>
      </c>
      <c r="M734" s="914">
        <v>5428427.4239999996</v>
      </c>
      <c r="N734" s="72">
        <v>1</v>
      </c>
      <c r="O734" s="72" t="s">
        <v>194</v>
      </c>
      <c r="P734" s="72">
        <v>1</v>
      </c>
      <c r="Q734" s="72" t="s">
        <v>6752</v>
      </c>
      <c r="R734" s="73" t="s">
        <v>8049</v>
      </c>
      <c r="S734" s="74" t="s">
        <v>85</v>
      </c>
      <c r="T734" s="838" t="s">
        <v>261</v>
      </c>
      <c r="U734" s="92" t="s">
        <v>8046</v>
      </c>
      <c r="V734" s="92" t="s">
        <v>8047</v>
      </c>
      <c r="W734" s="834" t="s">
        <v>1380</v>
      </c>
      <c r="X734" s="93">
        <v>44364</v>
      </c>
      <c r="Y734" s="92"/>
      <c r="Z734" s="93">
        <v>44364</v>
      </c>
      <c r="AA734" s="1108" t="s">
        <v>37</v>
      </c>
    </row>
    <row r="735" spans="1:27" s="869" customFormat="1" ht="52.5" thickBot="1" x14ac:dyDescent="0.3">
      <c r="A735" s="489"/>
      <c r="B735" s="133"/>
      <c r="C735" s="78"/>
      <c r="D735" s="569"/>
      <c r="E735" s="569"/>
      <c r="F735" s="78"/>
      <c r="G735" s="78"/>
      <c r="H735" s="569"/>
      <c r="I735" s="876"/>
      <c r="J735" s="87">
        <v>1365</v>
      </c>
      <c r="K735" s="360" t="s">
        <v>8050</v>
      </c>
      <c r="L735" s="198">
        <v>1737616.1483</v>
      </c>
      <c r="M735" s="198">
        <v>5427781.1061000004</v>
      </c>
      <c r="N735" s="83">
        <v>0.4</v>
      </c>
      <c r="O735" s="83" t="s">
        <v>194</v>
      </c>
      <c r="P735" s="83">
        <v>1</v>
      </c>
      <c r="Q735" s="83" t="s">
        <v>8051</v>
      </c>
      <c r="R735" s="360" t="s">
        <v>8049</v>
      </c>
      <c r="S735" s="88" t="s">
        <v>85</v>
      </c>
      <c r="T735" s="838" t="s">
        <v>604</v>
      </c>
      <c r="U735" s="92" t="s">
        <v>8046</v>
      </c>
      <c r="V735" s="92" t="s">
        <v>8047</v>
      </c>
      <c r="W735" s="834" t="s">
        <v>1380</v>
      </c>
      <c r="X735" s="93">
        <v>44364</v>
      </c>
      <c r="Y735" s="92"/>
      <c r="Z735" s="93">
        <v>44364</v>
      </c>
      <c r="AA735" s="1108" t="s">
        <v>37</v>
      </c>
    </row>
    <row r="736" spans="1:27" ht="26.25" x14ac:dyDescent="0.25">
      <c r="A736" s="807" t="s">
        <v>9511</v>
      </c>
      <c r="B736" s="349" t="s">
        <v>9503</v>
      </c>
      <c r="C736" s="157">
        <v>626</v>
      </c>
      <c r="D736" s="592" t="s">
        <v>52</v>
      </c>
      <c r="E736" s="592"/>
      <c r="F736" s="157" t="s">
        <v>1131</v>
      </c>
      <c r="G736" s="157" t="s">
        <v>1263</v>
      </c>
      <c r="H736" s="592"/>
      <c r="I736" s="1029"/>
      <c r="J736" s="193">
        <v>5659</v>
      </c>
      <c r="K736" s="433" t="s">
        <v>9512</v>
      </c>
      <c r="L736" s="157">
        <v>1618280</v>
      </c>
      <c r="M736" s="157">
        <v>5284300</v>
      </c>
      <c r="N736" s="159" t="s">
        <v>9513</v>
      </c>
      <c r="O736" s="647" t="s">
        <v>2090</v>
      </c>
      <c r="P736" s="159" t="s">
        <v>419</v>
      </c>
      <c r="Q736" s="159" t="s">
        <v>8519</v>
      </c>
      <c r="R736" s="159" t="s">
        <v>4329</v>
      </c>
      <c r="S736" s="613" t="s">
        <v>16</v>
      </c>
      <c r="T736" s="1006" t="s">
        <v>4131</v>
      </c>
      <c r="U736" s="40" t="s">
        <v>9455</v>
      </c>
      <c r="V736" s="40" t="s">
        <v>9442</v>
      </c>
      <c r="W736" s="40" t="s">
        <v>37</v>
      </c>
      <c r="X736" s="41">
        <v>44420</v>
      </c>
      <c r="Y736" s="1150"/>
      <c r="Z736" s="1157"/>
      <c r="AA736" s="1154"/>
    </row>
    <row r="737" spans="1:27" ht="26.25" x14ac:dyDescent="0.25">
      <c r="A737" s="808"/>
      <c r="B737" s="474"/>
      <c r="C737" s="436"/>
      <c r="D737" s="576"/>
      <c r="E737" s="576"/>
      <c r="F737" s="436"/>
      <c r="G737" s="436"/>
      <c r="H737" s="576"/>
      <c r="I737" s="1026"/>
      <c r="J737" s="194">
        <v>5661</v>
      </c>
      <c r="K737" s="434" t="s">
        <v>9514</v>
      </c>
      <c r="L737" s="161">
        <v>1617720</v>
      </c>
      <c r="M737" s="161">
        <v>5284460</v>
      </c>
      <c r="N737" s="437" t="s">
        <v>9515</v>
      </c>
      <c r="O737" s="611" t="s">
        <v>2090</v>
      </c>
      <c r="P737" s="163" t="s">
        <v>419</v>
      </c>
      <c r="Q737" s="163" t="s">
        <v>677</v>
      </c>
      <c r="R737" s="163" t="s">
        <v>4329</v>
      </c>
      <c r="S737" s="1014" t="s">
        <v>16</v>
      </c>
      <c r="T737" s="992" t="s">
        <v>604</v>
      </c>
      <c r="U737" s="46" t="s">
        <v>9441</v>
      </c>
      <c r="V737" s="46" t="s">
        <v>9442</v>
      </c>
      <c r="W737" s="46" t="s">
        <v>37</v>
      </c>
      <c r="X737" s="47">
        <v>44420</v>
      </c>
      <c r="Y737" s="1151"/>
      <c r="Z737" s="894"/>
      <c r="AA737" s="1155"/>
    </row>
    <row r="738" spans="1:27" ht="26.25" x14ac:dyDescent="0.25">
      <c r="A738" s="808"/>
      <c r="B738" s="474"/>
      <c r="C738" s="436"/>
      <c r="D738" s="576"/>
      <c r="E738" s="576"/>
      <c r="F738" s="436"/>
      <c r="G738" s="436"/>
      <c r="H738" s="576"/>
      <c r="I738" s="1026"/>
      <c r="J738" s="194">
        <v>5662</v>
      </c>
      <c r="K738" s="434" t="s">
        <v>9516</v>
      </c>
      <c r="L738" s="161">
        <v>1616700</v>
      </c>
      <c r="M738" s="161">
        <v>5282780</v>
      </c>
      <c r="N738" s="437" t="s">
        <v>9517</v>
      </c>
      <c r="O738" s="611" t="s">
        <v>2090</v>
      </c>
      <c r="P738" s="163" t="s">
        <v>419</v>
      </c>
      <c r="Q738" s="163" t="s">
        <v>9085</v>
      </c>
      <c r="R738" s="163" t="s">
        <v>4329</v>
      </c>
      <c r="S738" s="1014" t="s">
        <v>16</v>
      </c>
      <c r="T738" s="992" t="s">
        <v>4533</v>
      </c>
      <c r="U738" s="46" t="s">
        <v>9441</v>
      </c>
      <c r="V738" s="46" t="s">
        <v>9442</v>
      </c>
      <c r="W738" s="46" t="s">
        <v>37</v>
      </c>
      <c r="X738" s="47">
        <v>44420</v>
      </c>
      <c r="Y738" s="1151"/>
      <c r="Z738" s="894"/>
      <c r="AA738" s="1155"/>
    </row>
    <row r="739" spans="1:27" ht="26.25" x14ac:dyDescent="0.25">
      <c r="A739" s="808"/>
      <c r="B739" s="474"/>
      <c r="C739" s="436"/>
      <c r="D739" s="576"/>
      <c r="E739" s="576"/>
      <c r="F739" s="436"/>
      <c r="G739" s="436"/>
      <c r="H739" s="576"/>
      <c r="I739" s="1026"/>
      <c r="J739" s="194">
        <v>5663</v>
      </c>
      <c r="K739" s="434" t="s">
        <v>9518</v>
      </c>
      <c r="L739" s="161">
        <v>1616710</v>
      </c>
      <c r="M739" s="161">
        <v>5282960</v>
      </c>
      <c r="N739" s="437" t="s">
        <v>9519</v>
      </c>
      <c r="O739" s="611" t="s">
        <v>2090</v>
      </c>
      <c r="P739" s="163" t="s">
        <v>419</v>
      </c>
      <c r="Q739" s="163" t="s">
        <v>9919</v>
      </c>
      <c r="R739" s="163" t="s">
        <v>4329</v>
      </c>
      <c r="S739" s="1014" t="s">
        <v>16</v>
      </c>
      <c r="T739" s="992" t="s">
        <v>5708</v>
      </c>
      <c r="U739" s="46" t="s">
        <v>9441</v>
      </c>
      <c r="V739" s="46" t="s">
        <v>9442</v>
      </c>
      <c r="W739" s="46" t="s">
        <v>37</v>
      </c>
      <c r="X739" s="47">
        <v>44420</v>
      </c>
      <c r="Y739" s="1151"/>
      <c r="Z739" s="894"/>
      <c r="AA739" s="1155"/>
    </row>
    <row r="740" spans="1:27" ht="39" x14ac:dyDescent="0.25">
      <c r="A740" s="808"/>
      <c r="B740" s="474"/>
      <c r="C740" s="436"/>
      <c r="D740" s="576"/>
      <c r="E740" s="576"/>
      <c r="F740" s="436"/>
      <c r="G740" s="436"/>
      <c r="H740" s="576"/>
      <c r="I740" s="1026"/>
      <c r="J740" s="194">
        <v>5667</v>
      </c>
      <c r="K740" s="434" t="s">
        <v>9520</v>
      </c>
      <c r="L740" s="161">
        <v>1618330</v>
      </c>
      <c r="M740" s="161">
        <v>5284410</v>
      </c>
      <c r="N740" s="1015" t="s">
        <v>9521</v>
      </c>
      <c r="O740" s="611" t="s">
        <v>2090</v>
      </c>
      <c r="P740" s="163" t="s">
        <v>419</v>
      </c>
      <c r="Q740" s="163" t="s">
        <v>5306</v>
      </c>
      <c r="R740" s="163" t="s">
        <v>4329</v>
      </c>
      <c r="S740" s="1014" t="s">
        <v>16</v>
      </c>
      <c r="T740" s="992" t="s">
        <v>4131</v>
      </c>
      <c r="U740" s="46" t="s">
        <v>9489</v>
      </c>
      <c r="V740" s="46" t="s">
        <v>9442</v>
      </c>
      <c r="W740" s="46" t="s">
        <v>37</v>
      </c>
      <c r="X740" s="47">
        <v>44420</v>
      </c>
      <c r="Y740" s="1151"/>
      <c r="Z740" s="894"/>
      <c r="AA740" s="1155"/>
    </row>
    <row r="741" spans="1:27" ht="39" x14ac:dyDescent="0.25">
      <c r="A741" s="808"/>
      <c r="B741" s="474"/>
      <c r="C741" s="436"/>
      <c r="D741" s="576"/>
      <c r="E741" s="576"/>
      <c r="F741" s="436"/>
      <c r="G741" s="436"/>
      <c r="H741" s="576"/>
      <c r="I741" s="1026"/>
      <c r="J741" s="194">
        <v>5668</v>
      </c>
      <c r="K741" s="434" t="s">
        <v>9522</v>
      </c>
      <c r="L741" s="161">
        <v>1618330</v>
      </c>
      <c r="M741" s="161">
        <v>5284390</v>
      </c>
      <c r="N741" s="1015" t="s">
        <v>9523</v>
      </c>
      <c r="O741" s="611" t="s">
        <v>2090</v>
      </c>
      <c r="P741" s="163" t="s">
        <v>419</v>
      </c>
      <c r="Q741" s="163" t="s">
        <v>5306</v>
      </c>
      <c r="R741" s="163" t="s">
        <v>4329</v>
      </c>
      <c r="S741" s="1014" t="s">
        <v>16</v>
      </c>
      <c r="T741" s="992" t="s">
        <v>4131</v>
      </c>
      <c r="U741" s="46" t="s">
        <v>9489</v>
      </c>
      <c r="V741" s="46" t="s">
        <v>9442</v>
      </c>
      <c r="W741" s="46" t="s">
        <v>37</v>
      </c>
      <c r="X741" s="47">
        <v>44420</v>
      </c>
      <c r="Y741" s="1151"/>
      <c r="Z741" s="894"/>
      <c r="AA741" s="1155"/>
    </row>
    <row r="742" spans="1:27" ht="39" x14ac:dyDescent="0.25">
      <c r="A742" s="808"/>
      <c r="B742" s="474"/>
      <c r="C742" s="436"/>
      <c r="D742" s="576"/>
      <c r="E742" s="576"/>
      <c r="F742" s="436"/>
      <c r="G742" s="436"/>
      <c r="H742" s="576"/>
      <c r="I742" s="1026"/>
      <c r="J742" s="194">
        <v>5669</v>
      </c>
      <c r="K742" s="434" t="s">
        <v>9524</v>
      </c>
      <c r="L742" s="161">
        <v>1618550</v>
      </c>
      <c r="M742" s="161">
        <v>5284750</v>
      </c>
      <c r="N742" s="1015" t="s">
        <v>9525</v>
      </c>
      <c r="O742" s="611" t="s">
        <v>2090</v>
      </c>
      <c r="P742" s="163" t="s">
        <v>419</v>
      </c>
      <c r="Q742" s="163" t="s">
        <v>8539</v>
      </c>
      <c r="R742" s="163" t="s">
        <v>4329</v>
      </c>
      <c r="S742" s="1014" t="s">
        <v>16</v>
      </c>
      <c r="T742" s="992" t="s">
        <v>4131</v>
      </c>
      <c r="U742" s="46" t="s">
        <v>9489</v>
      </c>
      <c r="V742" s="46" t="s">
        <v>9442</v>
      </c>
      <c r="W742" s="46" t="s">
        <v>37</v>
      </c>
      <c r="X742" s="47">
        <v>44420</v>
      </c>
      <c r="Y742" s="1151"/>
      <c r="Z742" s="894"/>
      <c r="AA742" s="1155"/>
    </row>
    <row r="743" spans="1:27" ht="39" x14ac:dyDescent="0.25">
      <c r="A743" s="808"/>
      <c r="B743" s="474"/>
      <c r="C743" s="436"/>
      <c r="D743" s="576"/>
      <c r="E743" s="576"/>
      <c r="F743" s="436"/>
      <c r="G743" s="436"/>
      <c r="H743" s="576"/>
      <c r="I743" s="1026"/>
      <c r="J743" s="194">
        <v>5680</v>
      </c>
      <c r="K743" s="434" t="s">
        <v>9526</v>
      </c>
      <c r="L743" s="161">
        <v>1618710</v>
      </c>
      <c r="M743" s="161">
        <v>5285330</v>
      </c>
      <c r="N743" s="437" t="s">
        <v>9527</v>
      </c>
      <c r="O743" s="611" t="s">
        <v>2090</v>
      </c>
      <c r="P743" s="163" t="s">
        <v>419</v>
      </c>
      <c r="Q743" s="163" t="s">
        <v>9920</v>
      </c>
      <c r="R743" s="163" t="s">
        <v>4329</v>
      </c>
      <c r="S743" s="1014" t="s">
        <v>16</v>
      </c>
      <c r="T743" s="992" t="s">
        <v>4131</v>
      </c>
      <c r="U743" s="46" t="s">
        <v>9506</v>
      </c>
      <c r="V743" s="46" t="s">
        <v>9442</v>
      </c>
      <c r="W743" s="46" t="s">
        <v>37</v>
      </c>
      <c r="X743" s="47">
        <v>44420</v>
      </c>
      <c r="Y743" s="1151"/>
      <c r="Z743" s="894"/>
      <c r="AA743" s="1155"/>
    </row>
    <row r="744" spans="1:27" ht="26.25" x14ac:dyDescent="0.25">
      <c r="A744" s="808"/>
      <c r="B744" s="474"/>
      <c r="C744" s="436"/>
      <c r="D744" s="576"/>
      <c r="E744" s="576"/>
      <c r="F744" s="436"/>
      <c r="G744" s="436"/>
      <c r="H744" s="576"/>
      <c r="I744" s="1026"/>
      <c r="J744" s="194">
        <v>5681</v>
      </c>
      <c r="K744" s="434" t="s">
        <v>9528</v>
      </c>
      <c r="L744" s="161">
        <v>1618170</v>
      </c>
      <c r="M744" s="161">
        <v>5284340</v>
      </c>
      <c r="N744" s="1015" t="s">
        <v>9529</v>
      </c>
      <c r="O744" s="611" t="s">
        <v>2090</v>
      </c>
      <c r="P744" s="163" t="s">
        <v>419</v>
      </c>
      <c r="Q744" s="163" t="s">
        <v>1248</v>
      </c>
      <c r="R744" s="163" t="s">
        <v>4329</v>
      </c>
      <c r="S744" s="1014" t="s">
        <v>16</v>
      </c>
      <c r="T744" s="992" t="s">
        <v>4131</v>
      </c>
      <c r="U744" s="46" t="s">
        <v>9441</v>
      </c>
      <c r="V744" s="46" t="s">
        <v>9442</v>
      </c>
      <c r="W744" s="46" t="s">
        <v>37</v>
      </c>
      <c r="X744" s="47">
        <v>44420</v>
      </c>
      <c r="Y744" s="1151"/>
      <c r="Z744" s="894"/>
      <c r="AA744" s="1155"/>
    </row>
    <row r="745" spans="1:27" ht="26.25" x14ac:dyDescent="0.25">
      <c r="A745" s="808"/>
      <c r="B745" s="474"/>
      <c r="C745" s="436"/>
      <c r="D745" s="576"/>
      <c r="E745" s="576"/>
      <c r="F745" s="436"/>
      <c r="G745" s="436"/>
      <c r="H745" s="576"/>
      <c r="I745" s="1026"/>
      <c r="J745" s="194">
        <v>5682</v>
      </c>
      <c r="K745" s="434" t="s">
        <v>9530</v>
      </c>
      <c r="L745" s="161">
        <v>1617280</v>
      </c>
      <c r="M745" s="161">
        <v>5283850</v>
      </c>
      <c r="N745" s="437" t="s">
        <v>9531</v>
      </c>
      <c r="O745" s="611" t="s">
        <v>2090</v>
      </c>
      <c r="P745" s="163" t="s">
        <v>419</v>
      </c>
      <c r="Q745" s="163" t="s">
        <v>9921</v>
      </c>
      <c r="R745" s="163" t="s">
        <v>4329</v>
      </c>
      <c r="S745" s="1014" t="s">
        <v>16</v>
      </c>
      <c r="T745" s="992" t="s">
        <v>9532</v>
      </c>
      <c r="U745" s="46" t="s">
        <v>9441</v>
      </c>
      <c r="V745" s="46" t="s">
        <v>9442</v>
      </c>
      <c r="W745" s="46" t="s">
        <v>37</v>
      </c>
      <c r="X745" s="47">
        <v>44420</v>
      </c>
      <c r="Y745" s="1151"/>
      <c r="Z745" s="894"/>
      <c r="AA745" s="1155"/>
    </row>
    <row r="746" spans="1:27" ht="26.25" x14ac:dyDescent="0.25">
      <c r="A746" s="808"/>
      <c r="B746" s="474"/>
      <c r="C746" s="436"/>
      <c r="D746" s="576"/>
      <c r="E746" s="576"/>
      <c r="F746" s="436"/>
      <c r="G746" s="436"/>
      <c r="H746" s="576"/>
      <c r="I746" s="1026"/>
      <c r="J746" s="194">
        <v>5683</v>
      </c>
      <c r="K746" s="434" t="s">
        <v>9533</v>
      </c>
      <c r="L746" s="161">
        <v>1616800</v>
      </c>
      <c r="M746" s="161">
        <v>5283750</v>
      </c>
      <c r="N746" s="437" t="s">
        <v>9534</v>
      </c>
      <c r="O746" s="611" t="s">
        <v>2090</v>
      </c>
      <c r="P746" s="163" t="s">
        <v>419</v>
      </c>
      <c r="Q746" s="163" t="s">
        <v>9922</v>
      </c>
      <c r="R746" s="163" t="s">
        <v>4329</v>
      </c>
      <c r="S746" s="1014" t="s">
        <v>16</v>
      </c>
      <c r="T746" s="992" t="s">
        <v>4131</v>
      </c>
      <c r="U746" s="46" t="s">
        <v>9441</v>
      </c>
      <c r="V746" s="46" t="s">
        <v>9442</v>
      </c>
      <c r="W746" s="46" t="s">
        <v>37</v>
      </c>
      <c r="X746" s="47">
        <v>44420</v>
      </c>
      <c r="Y746" s="1151"/>
      <c r="Z746" s="894"/>
      <c r="AA746" s="1155"/>
    </row>
    <row r="747" spans="1:27" ht="26.25" x14ac:dyDescent="0.25">
      <c r="A747" s="808"/>
      <c r="B747" s="474"/>
      <c r="C747" s="436"/>
      <c r="D747" s="576"/>
      <c r="E747" s="576"/>
      <c r="F747" s="436"/>
      <c r="G747" s="436"/>
      <c r="H747" s="576"/>
      <c r="I747" s="1026"/>
      <c r="J747" s="194">
        <v>5687</v>
      </c>
      <c r="K747" s="434" t="s">
        <v>9535</v>
      </c>
      <c r="L747" s="161">
        <v>1616800</v>
      </c>
      <c r="M747" s="161">
        <v>5283650</v>
      </c>
      <c r="N747" s="437" t="s">
        <v>9536</v>
      </c>
      <c r="O747" s="611" t="s">
        <v>2090</v>
      </c>
      <c r="P747" s="163" t="s">
        <v>419</v>
      </c>
      <c r="Q747" s="163" t="s">
        <v>9923</v>
      </c>
      <c r="R747" s="163" t="s">
        <v>4329</v>
      </c>
      <c r="S747" s="1014" t="s">
        <v>16</v>
      </c>
      <c r="T747" s="992" t="s">
        <v>798</v>
      </c>
      <c r="U747" s="46" t="s">
        <v>9441</v>
      </c>
      <c r="V747" s="46" t="s">
        <v>9442</v>
      </c>
      <c r="W747" s="46" t="s">
        <v>37</v>
      </c>
      <c r="X747" s="47">
        <v>44420</v>
      </c>
      <c r="Y747" s="1151"/>
      <c r="Z747" s="894"/>
      <c r="AA747" s="1155"/>
    </row>
    <row r="748" spans="1:27" ht="26.25" x14ac:dyDescent="0.25">
      <c r="A748" s="808"/>
      <c r="B748" s="474"/>
      <c r="C748" s="436"/>
      <c r="D748" s="576"/>
      <c r="E748" s="576"/>
      <c r="F748" s="436"/>
      <c r="G748" s="436"/>
      <c r="H748" s="576"/>
      <c r="I748" s="1026"/>
      <c r="J748" s="194">
        <v>5688</v>
      </c>
      <c r="K748" s="434" t="s">
        <v>9537</v>
      </c>
      <c r="L748" s="161">
        <v>1616800</v>
      </c>
      <c r="M748" s="161">
        <v>5283620</v>
      </c>
      <c r="N748" s="437" t="s">
        <v>9538</v>
      </c>
      <c r="O748" s="611" t="s">
        <v>2090</v>
      </c>
      <c r="P748" s="163" t="s">
        <v>419</v>
      </c>
      <c r="Q748" s="163" t="s">
        <v>9924</v>
      </c>
      <c r="R748" s="163" t="s">
        <v>4329</v>
      </c>
      <c r="S748" s="1014" t="s">
        <v>16</v>
      </c>
      <c r="T748" s="992" t="s">
        <v>8412</v>
      </c>
      <c r="U748" s="46" t="s">
        <v>9441</v>
      </c>
      <c r="V748" s="46" t="s">
        <v>9442</v>
      </c>
      <c r="W748" s="46" t="s">
        <v>37</v>
      </c>
      <c r="X748" s="47">
        <v>44420</v>
      </c>
      <c r="Y748" s="1151"/>
      <c r="Z748" s="894"/>
      <c r="AA748" s="1155"/>
    </row>
    <row r="749" spans="1:27" ht="26.25" x14ac:dyDescent="0.25">
      <c r="A749" s="808"/>
      <c r="B749" s="474"/>
      <c r="C749" s="436"/>
      <c r="D749" s="576"/>
      <c r="E749" s="576"/>
      <c r="F749" s="436"/>
      <c r="G749" s="436"/>
      <c r="H749" s="576"/>
      <c r="I749" s="1026"/>
      <c r="J749" s="194">
        <v>5689</v>
      </c>
      <c r="K749" s="434" t="s">
        <v>9539</v>
      </c>
      <c r="L749" s="161">
        <v>1616800</v>
      </c>
      <c r="M749" s="161">
        <v>5283690</v>
      </c>
      <c r="N749" s="163" t="s">
        <v>9540</v>
      </c>
      <c r="O749" s="611" t="s">
        <v>2090</v>
      </c>
      <c r="P749" s="163" t="s">
        <v>419</v>
      </c>
      <c r="Q749" s="163" t="s">
        <v>9925</v>
      </c>
      <c r="R749" s="163" t="s">
        <v>4329</v>
      </c>
      <c r="S749" s="1014" t="s">
        <v>16</v>
      </c>
      <c r="T749" s="992" t="s">
        <v>8412</v>
      </c>
      <c r="U749" s="46" t="s">
        <v>9441</v>
      </c>
      <c r="V749" s="46" t="s">
        <v>9442</v>
      </c>
      <c r="W749" s="46" t="s">
        <v>37</v>
      </c>
      <c r="X749" s="47">
        <v>44420</v>
      </c>
      <c r="Y749" s="1151"/>
      <c r="Z749" s="894"/>
      <c r="AA749" s="1155"/>
    </row>
    <row r="750" spans="1:27" ht="26.25" x14ac:dyDescent="0.25">
      <c r="A750" s="808"/>
      <c r="B750" s="474"/>
      <c r="C750" s="436"/>
      <c r="D750" s="576"/>
      <c r="E750" s="576"/>
      <c r="F750" s="436"/>
      <c r="G750" s="436"/>
      <c r="H750" s="576"/>
      <c r="I750" s="1026"/>
      <c r="J750" s="194">
        <v>5690</v>
      </c>
      <c r="K750" s="434" t="s">
        <v>9541</v>
      </c>
      <c r="L750" s="161">
        <v>1616800</v>
      </c>
      <c r="M750" s="161">
        <v>5283680</v>
      </c>
      <c r="N750" s="163" t="s">
        <v>9542</v>
      </c>
      <c r="O750" s="611" t="s">
        <v>2090</v>
      </c>
      <c r="P750" s="163" t="s">
        <v>419</v>
      </c>
      <c r="Q750" s="163" t="s">
        <v>9926</v>
      </c>
      <c r="R750" s="163" t="s">
        <v>4329</v>
      </c>
      <c r="S750" s="1014" t="s">
        <v>16</v>
      </c>
      <c r="T750" s="992" t="s">
        <v>8412</v>
      </c>
      <c r="U750" s="46" t="s">
        <v>9441</v>
      </c>
      <c r="V750" s="46" t="s">
        <v>9442</v>
      </c>
      <c r="W750" s="46" t="s">
        <v>37</v>
      </c>
      <c r="X750" s="47">
        <v>44420</v>
      </c>
      <c r="Y750" s="1151"/>
      <c r="Z750" s="894"/>
      <c r="AA750" s="1155"/>
    </row>
    <row r="751" spans="1:27" ht="26.25" x14ac:dyDescent="0.25">
      <c r="A751" s="808"/>
      <c r="B751" s="474"/>
      <c r="C751" s="436"/>
      <c r="D751" s="576"/>
      <c r="E751" s="576"/>
      <c r="F751" s="436"/>
      <c r="G751" s="436"/>
      <c r="H751" s="576"/>
      <c r="I751" s="1026"/>
      <c r="J751" s="194">
        <v>5691</v>
      </c>
      <c r="K751" s="434" t="s">
        <v>9543</v>
      </c>
      <c r="L751" s="161">
        <v>1616800</v>
      </c>
      <c r="M751" s="161">
        <v>5283700</v>
      </c>
      <c r="N751" s="163" t="s">
        <v>9544</v>
      </c>
      <c r="O751" s="611" t="s">
        <v>2090</v>
      </c>
      <c r="P751" s="163" t="s">
        <v>419</v>
      </c>
      <c r="Q751" s="163" t="s">
        <v>9927</v>
      </c>
      <c r="R751" s="163" t="s">
        <v>4329</v>
      </c>
      <c r="S751" s="1014" t="s">
        <v>16</v>
      </c>
      <c r="T751" s="992" t="s">
        <v>8412</v>
      </c>
      <c r="U751" s="46" t="s">
        <v>9441</v>
      </c>
      <c r="V751" s="46" t="s">
        <v>9442</v>
      </c>
      <c r="W751" s="46" t="s">
        <v>37</v>
      </c>
      <c r="X751" s="47">
        <v>44420</v>
      </c>
      <c r="Y751" s="1151"/>
      <c r="Z751" s="894"/>
      <c r="AA751" s="1155"/>
    </row>
    <row r="752" spans="1:27" ht="26.25" x14ac:dyDescent="0.25">
      <c r="A752" s="808"/>
      <c r="B752" s="474"/>
      <c r="C752" s="436"/>
      <c r="D752" s="576"/>
      <c r="E752" s="576"/>
      <c r="F752" s="436"/>
      <c r="G752" s="436"/>
      <c r="H752" s="576"/>
      <c r="I752" s="1026"/>
      <c r="J752" s="194">
        <v>5692</v>
      </c>
      <c r="K752" s="434" t="s">
        <v>9545</v>
      </c>
      <c r="L752" s="161">
        <v>1617070</v>
      </c>
      <c r="M752" s="161">
        <v>5284520</v>
      </c>
      <c r="N752" s="437" t="s">
        <v>9546</v>
      </c>
      <c r="O752" s="611" t="s">
        <v>2090</v>
      </c>
      <c r="P752" s="163" t="s">
        <v>419</v>
      </c>
      <c r="Q752" s="163" t="s">
        <v>9928</v>
      </c>
      <c r="R752" s="163" t="s">
        <v>4329</v>
      </c>
      <c r="S752" s="1014" t="s">
        <v>16</v>
      </c>
      <c r="T752" s="992" t="s">
        <v>8412</v>
      </c>
      <c r="U752" s="46" t="s">
        <v>9441</v>
      </c>
      <c r="V752" s="46" t="s">
        <v>9442</v>
      </c>
      <c r="W752" s="46" t="s">
        <v>37</v>
      </c>
      <c r="X752" s="47">
        <v>44420</v>
      </c>
      <c r="Y752" s="1151"/>
      <c r="Z752" s="894"/>
      <c r="AA752" s="1155"/>
    </row>
    <row r="753" spans="1:27" ht="26.25" x14ac:dyDescent="0.25">
      <c r="A753" s="808"/>
      <c r="B753" s="474"/>
      <c r="C753" s="436"/>
      <c r="D753" s="576"/>
      <c r="E753" s="576"/>
      <c r="F753" s="436"/>
      <c r="G753" s="436"/>
      <c r="H753" s="576"/>
      <c r="I753" s="1026"/>
      <c r="J753" s="194">
        <v>5693</v>
      </c>
      <c r="K753" s="434" t="s">
        <v>9547</v>
      </c>
      <c r="L753" s="161">
        <v>1617060</v>
      </c>
      <c r="M753" s="161">
        <v>5284600</v>
      </c>
      <c r="N753" s="163" t="s">
        <v>9918</v>
      </c>
      <c r="O753" s="611" t="s">
        <v>2090</v>
      </c>
      <c r="P753" s="163" t="s">
        <v>419</v>
      </c>
      <c r="Q753" s="163" t="s">
        <v>9929</v>
      </c>
      <c r="R753" s="163" t="s">
        <v>4329</v>
      </c>
      <c r="S753" s="1014" t="s">
        <v>16</v>
      </c>
      <c r="T753" s="992" t="s">
        <v>8412</v>
      </c>
      <c r="U753" s="46" t="s">
        <v>9441</v>
      </c>
      <c r="V753" s="46" t="s">
        <v>9442</v>
      </c>
      <c r="W753" s="46" t="s">
        <v>37</v>
      </c>
      <c r="X753" s="47">
        <v>44420</v>
      </c>
      <c r="Y753" s="1151"/>
      <c r="Z753" s="894"/>
      <c r="AA753" s="1155"/>
    </row>
    <row r="754" spans="1:27" ht="26.25" x14ac:dyDescent="0.25">
      <c r="A754" s="808"/>
      <c r="B754" s="474"/>
      <c r="C754" s="436"/>
      <c r="D754" s="576"/>
      <c r="E754" s="576"/>
      <c r="F754" s="436"/>
      <c r="G754" s="436"/>
      <c r="H754" s="576"/>
      <c r="I754" s="1026"/>
      <c r="J754" s="194">
        <v>5694</v>
      </c>
      <c r="K754" s="434" t="s">
        <v>9548</v>
      </c>
      <c r="L754" s="161">
        <v>1617740</v>
      </c>
      <c r="M754" s="161">
        <v>5284590</v>
      </c>
      <c r="N754" s="163" t="s">
        <v>9549</v>
      </c>
      <c r="O754" s="611" t="s">
        <v>2090</v>
      </c>
      <c r="P754" s="163" t="s">
        <v>419</v>
      </c>
      <c r="Q754" s="163" t="s">
        <v>5306</v>
      </c>
      <c r="R754" s="163" t="s">
        <v>4329</v>
      </c>
      <c r="S754" s="1014" t="s">
        <v>16</v>
      </c>
      <c r="T754" s="992" t="s">
        <v>8412</v>
      </c>
      <c r="U754" s="46" t="s">
        <v>9441</v>
      </c>
      <c r="V754" s="46" t="s">
        <v>9442</v>
      </c>
      <c r="W754" s="46" t="s">
        <v>37</v>
      </c>
      <c r="X754" s="47">
        <v>44420</v>
      </c>
      <c r="Y754" s="1151"/>
      <c r="Z754" s="894"/>
      <c r="AA754" s="1155"/>
    </row>
    <row r="755" spans="1:27" ht="26.25" x14ac:dyDescent="0.25">
      <c r="A755" s="808"/>
      <c r="B755" s="474"/>
      <c r="C755" s="436"/>
      <c r="D755" s="576"/>
      <c r="E755" s="576"/>
      <c r="F755" s="436"/>
      <c r="G755" s="436"/>
      <c r="H755" s="576"/>
      <c r="I755" s="1026"/>
      <c r="J755" s="194">
        <v>5695</v>
      </c>
      <c r="K755" s="434" t="s">
        <v>9550</v>
      </c>
      <c r="L755" s="161">
        <v>1617680</v>
      </c>
      <c r="M755" s="161">
        <v>5284380</v>
      </c>
      <c r="N755" s="437" t="s">
        <v>9551</v>
      </c>
      <c r="O755" s="611" t="s">
        <v>2090</v>
      </c>
      <c r="P755" s="163" t="s">
        <v>419</v>
      </c>
      <c r="Q755" s="163" t="s">
        <v>9930</v>
      </c>
      <c r="R755" s="163" t="s">
        <v>4329</v>
      </c>
      <c r="S755" s="1014" t="s">
        <v>16</v>
      </c>
      <c r="T755" s="992" t="s">
        <v>9552</v>
      </c>
      <c r="U755" s="46" t="s">
        <v>9441</v>
      </c>
      <c r="V755" s="46" t="s">
        <v>9442</v>
      </c>
      <c r="W755" s="46" t="s">
        <v>37</v>
      </c>
      <c r="X755" s="47">
        <v>44420</v>
      </c>
      <c r="Y755" s="1151"/>
      <c r="Z755" s="894"/>
      <c r="AA755" s="1155"/>
    </row>
    <row r="756" spans="1:27" ht="26.25" x14ac:dyDescent="0.25">
      <c r="A756" s="808"/>
      <c r="B756" s="474"/>
      <c r="C756" s="436"/>
      <c r="D756" s="576"/>
      <c r="E756" s="576"/>
      <c r="F756" s="436"/>
      <c r="G756" s="436"/>
      <c r="H756" s="576"/>
      <c r="I756" s="1026"/>
      <c r="J756" s="194">
        <v>5697</v>
      </c>
      <c r="K756" s="434" t="s">
        <v>9553</v>
      </c>
      <c r="L756" s="161">
        <v>1620240</v>
      </c>
      <c r="M756" s="161">
        <v>5285710</v>
      </c>
      <c r="N756" s="437" t="s">
        <v>9554</v>
      </c>
      <c r="O756" s="611" t="s">
        <v>2090</v>
      </c>
      <c r="P756" s="163" t="s">
        <v>419</v>
      </c>
      <c r="Q756" s="163" t="s">
        <v>9931</v>
      </c>
      <c r="R756" s="163" t="s">
        <v>4329</v>
      </c>
      <c r="S756" s="1014" t="s">
        <v>16</v>
      </c>
      <c r="T756" s="992" t="s">
        <v>4131</v>
      </c>
      <c r="U756" s="46" t="s">
        <v>9441</v>
      </c>
      <c r="V756" s="46" t="s">
        <v>9442</v>
      </c>
      <c r="W756" s="46" t="s">
        <v>37</v>
      </c>
      <c r="X756" s="47">
        <v>44420</v>
      </c>
      <c r="Y756" s="1151"/>
      <c r="Z756" s="894"/>
      <c r="AA756" s="1155"/>
    </row>
    <row r="757" spans="1:27" ht="26.25" x14ac:dyDescent="0.25">
      <c r="A757" s="808"/>
      <c r="B757" s="474"/>
      <c r="C757" s="436"/>
      <c r="D757" s="576"/>
      <c r="E757" s="576"/>
      <c r="F757" s="436"/>
      <c r="G757" s="436"/>
      <c r="H757" s="576"/>
      <c r="I757" s="1026"/>
      <c r="J757" s="194">
        <v>5698</v>
      </c>
      <c r="K757" s="434" t="s">
        <v>9555</v>
      </c>
      <c r="L757" s="161">
        <v>1619620</v>
      </c>
      <c r="M757" s="161">
        <v>5285220</v>
      </c>
      <c r="N757" s="437" t="s">
        <v>9556</v>
      </c>
      <c r="O757" s="611" t="s">
        <v>2090</v>
      </c>
      <c r="P757" s="163" t="s">
        <v>419</v>
      </c>
      <c r="Q757" s="163" t="s">
        <v>9932</v>
      </c>
      <c r="R757" s="163" t="s">
        <v>4329</v>
      </c>
      <c r="S757" s="1014" t="s">
        <v>16</v>
      </c>
      <c r="T757" s="992" t="s">
        <v>8412</v>
      </c>
      <c r="U757" s="46" t="s">
        <v>9441</v>
      </c>
      <c r="V757" s="46" t="s">
        <v>9442</v>
      </c>
      <c r="W757" s="46" t="s">
        <v>37</v>
      </c>
      <c r="X757" s="47">
        <v>44420</v>
      </c>
      <c r="Y757" s="1151"/>
      <c r="Z757" s="894"/>
      <c r="AA757" s="1155"/>
    </row>
    <row r="758" spans="1:27" ht="26.25" x14ac:dyDescent="0.25">
      <c r="A758" s="808"/>
      <c r="B758" s="474"/>
      <c r="C758" s="436"/>
      <c r="D758" s="576"/>
      <c r="E758" s="576"/>
      <c r="F758" s="436"/>
      <c r="G758" s="436"/>
      <c r="H758" s="576"/>
      <c r="I758" s="1026"/>
      <c r="J758" s="194">
        <v>5699</v>
      </c>
      <c r="K758" s="434" t="s">
        <v>9557</v>
      </c>
      <c r="L758" s="161">
        <v>1616800</v>
      </c>
      <c r="M758" s="161">
        <v>5283350</v>
      </c>
      <c r="N758" s="437" t="s">
        <v>9558</v>
      </c>
      <c r="O758" s="611" t="s">
        <v>2090</v>
      </c>
      <c r="P758" s="163" t="s">
        <v>419</v>
      </c>
      <c r="Q758" s="163" t="s">
        <v>9933</v>
      </c>
      <c r="R758" s="163" t="s">
        <v>4329</v>
      </c>
      <c r="S758" s="1014" t="s">
        <v>16</v>
      </c>
      <c r="T758" s="992" t="s">
        <v>5708</v>
      </c>
      <c r="U758" s="46" t="s">
        <v>9441</v>
      </c>
      <c r="V758" s="46" t="s">
        <v>9442</v>
      </c>
      <c r="W758" s="46" t="s">
        <v>37</v>
      </c>
      <c r="X758" s="47">
        <v>44420</v>
      </c>
      <c r="Y758" s="1151"/>
      <c r="Z758" s="894"/>
      <c r="AA758" s="1155"/>
    </row>
    <row r="759" spans="1:27" ht="26.25" x14ac:dyDescent="0.25">
      <c r="A759" s="808"/>
      <c r="B759" s="474"/>
      <c r="C759" s="436"/>
      <c r="D759" s="576"/>
      <c r="E759" s="576"/>
      <c r="F759" s="436"/>
      <c r="G759" s="436"/>
      <c r="H759" s="576"/>
      <c r="I759" s="1026"/>
      <c r="J759" s="194">
        <v>5700</v>
      </c>
      <c r="K759" s="434" t="s">
        <v>9559</v>
      </c>
      <c r="L759" s="161">
        <v>1616820</v>
      </c>
      <c r="M759" s="161">
        <v>5283850</v>
      </c>
      <c r="N759" s="1015" t="s">
        <v>9560</v>
      </c>
      <c r="O759" s="611" t="s">
        <v>2090</v>
      </c>
      <c r="P759" s="163" t="s">
        <v>419</v>
      </c>
      <c r="Q759" s="163" t="s">
        <v>9934</v>
      </c>
      <c r="R759" s="163" t="s">
        <v>4329</v>
      </c>
      <c r="S759" s="1014" t="s">
        <v>16</v>
      </c>
      <c r="T759" s="992" t="s">
        <v>8412</v>
      </c>
      <c r="U759" s="46" t="s">
        <v>9441</v>
      </c>
      <c r="V759" s="46" t="s">
        <v>9442</v>
      </c>
      <c r="W759" s="46" t="s">
        <v>37</v>
      </c>
      <c r="X759" s="47">
        <v>44420</v>
      </c>
      <c r="Y759" s="1151"/>
      <c r="Z759" s="894"/>
      <c r="AA759" s="1155"/>
    </row>
    <row r="760" spans="1:27" ht="26.25" x14ac:dyDescent="0.25">
      <c r="A760" s="808"/>
      <c r="B760" s="474"/>
      <c r="C760" s="436"/>
      <c r="D760" s="576"/>
      <c r="E760" s="576"/>
      <c r="F760" s="436"/>
      <c r="G760" s="436"/>
      <c r="H760" s="576"/>
      <c r="I760" s="1026"/>
      <c r="J760" s="194">
        <v>5701</v>
      </c>
      <c r="K760" s="434" t="s">
        <v>9561</v>
      </c>
      <c r="L760" s="161">
        <v>1615600</v>
      </c>
      <c r="M760" s="161">
        <v>5280290</v>
      </c>
      <c r="N760" s="1015" t="s">
        <v>9562</v>
      </c>
      <c r="O760" s="611" t="s">
        <v>2090</v>
      </c>
      <c r="P760" s="163" t="s">
        <v>419</v>
      </c>
      <c r="Q760" s="163" t="s">
        <v>9932</v>
      </c>
      <c r="R760" s="163" t="s">
        <v>4329</v>
      </c>
      <c r="S760" s="1014" t="s">
        <v>16</v>
      </c>
      <c r="T760" s="992" t="s">
        <v>8412</v>
      </c>
      <c r="U760" s="46" t="s">
        <v>9441</v>
      </c>
      <c r="V760" s="46" t="s">
        <v>9442</v>
      </c>
      <c r="W760" s="46" t="s">
        <v>37</v>
      </c>
      <c r="X760" s="47">
        <v>44420</v>
      </c>
      <c r="Y760" s="1151"/>
      <c r="Z760" s="894"/>
      <c r="AA760" s="1155"/>
    </row>
    <row r="761" spans="1:27" ht="27" thickBot="1" x14ac:dyDescent="0.3">
      <c r="A761" s="809"/>
      <c r="B761" s="174"/>
      <c r="C761" s="165"/>
      <c r="D761" s="574"/>
      <c r="E761" s="574"/>
      <c r="F761" s="165"/>
      <c r="G761" s="165"/>
      <c r="H761" s="574"/>
      <c r="I761" s="1025"/>
      <c r="J761" s="195">
        <v>5606</v>
      </c>
      <c r="K761" s="435" t="s">
        <v>9563</v>
      </c>
      <c r="L761" s="165">
        <v>1618110</v>
      </c>
      <c r="M761" s="165">
        <v>5284800</v>
      </c>
      <c r="N761" s="1016" t="s">
        <v>9564</v>
      </c>
      <c r="O761" s="1017" t="s">
        <v>61</v>
      </c>
      <c r="P761" s="167" t="s">
        <v>419</v>
      </c>
      <c r="Q761" s="167" t="s">
        <v>6358</v>
      </c>
      <c r="R761" s="167" t="s">
        <v>4329</v>
      </c>
      <c r="S761" s="614" t="s">
        <v>16</v>
      </c>
      <c r="T761" s="850" t="s">
        <v>4131</v>
      </c>
      <c r="U761" s="52" t="s">
        <v>9455</v>
      </c>
      <c r="V761" s="52" t="s">
        <v>9442</v>
      </c>
      <c r="W761" s="52" t="s">
        <v>37</v>
      </c>
      <c r="X761" s="53">
        <v>44420</v>
      </c>
      <c r="Y761" s="1152"/>
      <c r="Z761" s="1158"/>
      <c r="AA761" s="1156"/>
    </row>
    <row r="762" spans="1:27" ht="26.25" x14ac:dyDescent="0.25">
      <c r="A762" s="341" t="s">
        <v>9565</v>
      </c>
      <c r="B762" s="181" t="s">
        <v>9566</v>
      </c>
      <c r="C762" s="125">
        <v>629</v>
      </c>
      <c r="D762" s="585" t="s">
        <v>52</v>
      </c>
      <c r="E762" s="585"/>
      <c r="F762" s="125" t="s">
        <v>9484</v>
      </c>
      <c r="G762" s="125" t="s">
        <v>1263</v>
      </c>
      <c r="H762" s="585"/>
      <c r="I762" s="879"/>
      <c r="J762" s="189">
        <v>5702</v>
      </c>
      <c r="K762" s="355" t="s">
        <v>9567</v>
      </c>
      <c r="L762" s="125">
        <v>1633150</v>
      </c>
      <c r="M762" s="125">
        <v>5296990</v>
      </c>
      <c r="N762" s="1007" t="s">
        <v>9568</v>
      </c>
      <c r="O762" s="255" t="s">
        <v>2090</v>
      </c>
      <c r="P762" s="126" t="s">
        <v>419</v>
      </c>
      <c r="Q762" s="126" t="s">
        <v>9935</v>
      </c>
      <c r="R762" s="126" t="s">
        <v>4329</v>
      </c>
      <c r="S762" s="1008" t="s">
        <v>16</v>
      </c>
      <c r="T762" s="1006" t="s">
        <v>4541</v>
      </c>
      <c r="U762" s="40" t="s">
        <v>9441</v>
      </c>
      <c r="V762" s="40" t="s">
        <v>9442</v>
      </c>
      <c r="W762" s="40" t="s">
        <v>37</v>
      </c>
      <c r="X762" s="41">
        <v>44420</v>
      </c>
      <c r="Y762" s="1150"/>
      <c r="Z762" s="1157"/>
      <c r="AA762" s="1154"/>
    </row>
    <row r="763" spans="1:27" ht="26.25" x14ac:dyDescent="0.25">
      <c r="A763" s="339"/>
      <c r="B763" s="338"/>
      <c r="C763" s="277"/>
      <c r="D763" s="565"/>
      <c r="E763" s="565"/>
      <c r="F763" s="277"/>
      <c r="G763" s="277"/>
      <c r="H763" s="565"/>
      <c r="I763" s="880"/>
      <c r="J763" s="191">
        <v>5703</v>
      </c>
      <c r="K763" s="359" t="s">
        <v>9569</v>
      </c>
      <c r="L763" s="95">
        <v>1633070</v>
      </c>
      <c r="M763" s="95">
        <v>5297790</v>
      </c>
      <c r="N763" s="1010" t="s">
        <v>9570</v>
      </c>
      <c r="O763" s="259" t="s">
        <v>2090</v>
      </c>
      <c r="P763" s="108" t="s">
        <v>419</v>
      </c>
      <c r="Q763" s="108" t="s">
        <v>9936</v>
      </c>
      <c r="R763" s="108" t="s">
        <v>4329</v>
      </c>
      <c r="S763" s="1009" t="s">
        <v>16</v>
      </c>
      <c r="T763" s="992" t="s">
        <v>4131</v>
      </c>
      <c r="U763" s="46" t="s">
        <v>9441</v>
      </c>
      <c r="V763" s="46" t="s">
        <v>9442</v>
      </c>
      <c r="W763" s="46" t="s">
        <v>37</v>
      </c>
      <c r="X763" s="47">
        <v>44420</v>
      </c>
      <c r="Y763" s="1151"/>
      <c r="Z763" s="894"/>
      <c r="AA763" s="1155"/>
    </row>
    <row r="764" spans="1:27" ht="26.25" x14ac:dyDescent="0.25">
      <c r="A764" s="339"/>
      <c r="B764" s="338"/>
      <c r="C764" s="277"/>
      <c r="D764" s="565"/>
      <c r="E764" s="565"/>
      <c r="F764" s="277"/>
      <c r="G764" s="277"/>
      <c r="H764" s="277"/>
      <c r="I764" s="880"/>
      <c r="J764" s="191">
        <v>5632</v>
      </c>
      <c r="K764" s="359" t="s">
        <v>9571</v>
      </c>
      <c r="L764" s="95">
        <v>1630570</v>
      </c>
      <c r="M764" s="95">
        <v>5302680</v>
      </c>
      <c r="N764" s="1010" t="s">
        <v>9572</v>
      </c>
      <c r="O764" s="259" t="s">
        <v>61</v>
      </c>
      <c r="P764" s="108" t="s">
        <v>419</v>
      </c>
      <c r="Q764" s="108" t="s">
        <v>9937</v>
      </c>
      <c r="R764" s="108" t="s">
        <v>4329</v>
      </c>
      <c r="S764" s="1009" t="s">
        <v>16</v>
      </c>
      <c r="T764" s="992" t="s">
        <v>4131</v>
      </c>
      <c r="U764" s="46" t="s">
        <v>9441</v>
      </c>
      <c r="V764" s="46" t="s">
        <v>9442</v>
      </c>
      <c r="W764" s="46" t="s">
        <v>37</v>
      </c>
      <c r="X764" s="47">
        <v>44420</v>
      </c>
      <c r="Y764" s="1151"/>
      <c r="Z764" s="894"/>
      <c r="AA764" s="1155"/>
    </row>
    <row r="765" spans="1:27" ht="26.25" x14ac:dyDescent="0.25">
      <c r="A765" s="339"/>
      <c r="B765" s="338"/>
      <c r="C765" s="277"/>
      <c r="D765" s="565"/>
      <c r="E765" s="565"/>
      <c r="F765" s="277"/>
      <c r="G765" s="277"/>
      <c r="H765" s="565"/>
      <c r="I765" s="880"/>
      <c r="J765" s="191">
        <v>5633</v>
      </c>
      <c r="K765" s="359" t="s">
        <v>9573</v>
      </c>
      <c r="L765" s="95">
        <v>1630580</v>
      </c>
      <c r="M765" s="95">
        <v>5302670</v>
      </c>
      <c r="N765" s="384" t="s">
        <v>9574</v>
      </c>
      <c r="O765" s="259" t="s">
        <v>61</v>
      </c>
      <c r="P765" s="108" t="s">
        <v>419</v>
      </c>
      <c r="Q765" s="108" t="s">
        <v>2277</v>
      </c>
      <c r="R765" s="108" t="s">
        <v>4329</v>
      </c>
      <c r="S765" s="1009" t="s">
        <v>16</v>
      </c>
      <c r="T765" s="992" t="s">
        <v>4131</v>
      </c>
      <c r="U765" s="46" t="s">
        <v>9441</v>
      </c>
      <c r="V765" s="46" t="s">
        <v>9442</v>
      </c>
      <c r="W765" s="46" t="s">
        <v>37</v>
      </c>
      <c r="X765" s="47">
        <v>44420</v>
      </c>
      <c r="Y765" s="1151"/>
      <c r="Z765" s="894"/>
      <c r="AA765" s="1155"/>
    </row>
    <row r="766" spans="1:27" ht="27" thickBot="1" x14ac:dyDescent="0.3">
      <c r="A766" s="336"/>
      <c r="B766" s="196"/>
      <c r="C766" s="96"/>
      <c r="D766" s="566"/>
      <c r="E766" s="566"/>
      <c r="F766" s="96"/>
      <c r="G766" s="96"/>
      <c r="H766" s="566"/>
      <c r="I766" s="881"/>
      <c r="J766" s="190">
        <v>5672</v>
      </c>
      <c r="K766" s="357" t="s">
        <v>9575</v>
      </c>
      <c r="L766" s="96">
        <v>1629040</v>
      </c>
      <c r="M766" s="96">
        <v>5303240</v>
      </c>
      <c r="N766" s="559" t="s">
        <v>9576</v>
      </c>
      <c r="O766" s="262" t="s">
        <v>2090</v>
      </c>
      <c r="P766" s="107" t="s">
        <v>419</v>
      </c>
      <c r="Q766" s="107" t="s">
        <v>9938</v>
      </c>
      <c r="R766" s="107" t="s">
        <v>4329</v>
      </c>
      <c r="S766" s="1012" t="s">
        <v>16</v>
      </c>
      <c r="T766" s="850" t="s">
        <v>8363</v>
      </c>
      <c r="U766" s="52" t="s">
        <v>9441</v>
      </c>
      <c r="V766" s="52" t="s">
        <v>9442</v>
      </c>
      <c r="W766" s="52" t="s">
        <v>37</v>
      </c>
      <c r="X766" s="53">
        <v>44420</v>
      </c>
      <c r="Y766" s="1152"/>
      <c r="Z766" s="1158"/>
      <c r="AA766" s="1156"/>
    </row>
    <row r="767" spans="1:27" s="869" customFormat="1" ht="51.75" x14ac:dyDescent="0.25">
      <c r="A767" s="487" t="s">
        <v>5952</v>
      </c>
      <c r="B767" s="128" t="s">
        <v>5952</v>
      </c>
      <c r="C767" s="72">
        <v>192</v>
      </c>
      <c r="D767" s="586" t="s">
        <v>57</v>
      </c>
      <c r="E767" s="586"/>
      <c r="F767" s="140" t="s">
        <v>4679</v>
      </c>
      <c r="G767" s="140" t="s">
        <v>1238</v>
      </c>
      <c r="H767" s="72"/>
      <c r="I767" s="873"/>
      <c r="J767" s="187">
        <v>5321</v>
      </c>
      <c r="K767" s="65">
        <v>89</v>
      </c>
      <c r="L767" s="914">
        <v>1933599.8052999999</v>
      </c>
      <c r="M767" s="914">
        <v>5783058.6217</v>
      </c>
      <c r="N767" s="866" t="s">
        <v>8414</v>
      </c>
      <c r="O767" s="64" t="s">
        <v>194</v>
      </c>
      <c r="P767" s="64">
        <v>1</v>
      </c>
      <c r="Q767" s="72" t="s">
        <v>4594</v>
      </c>
      <c r="R767" s="73" t="s">
        <v>8980</v>
      </c>
      <c r="S767" s="66" t="s">
        <v>16</v>
      </c>
      <c r="T767" s="854" t="s">
        <v>8392</v>
      </c>
      <c r="U767" s="40" t="s">
        <v>8435</v>
      </c>
      <c r="V767" s="40" t="s">
        <v>6540</v>
      </c>
      <c r="W767" s="40" t="s">
        <v>37</v>
      </c>
      <c r="X767" s="41">
        <v>44390</v>
      </c>
      <c r="Y767" s="40"/>
      <c r="Z767" s="54"/>
      <c r="AA767" s="652"/>
    </row>
    <row r="768" spans="1:27" s="869" customFormat="1" ht="52.5" thickBot="1" x14ac:dyDescent="0.3">
      <c r="A768" s="489"/>
      <c r="B768" s="133"/>
      <c r="C768" s="78"/>
      <c r="D768" s="569"/>
      <c r="E768" s="569"/>
      <c r="F768" s="144"/>
      <c r="G768" s="144"/>
      <c r="H768" s="78"/>
      <c r="I768" s="876"/>
      <c r="J768" s="192">
        <v>5322</v>
      </c>
      <c r="K768" s="70">
        <v>32</v>
      </c>
      <c r="L768" s="916">
        <v>1931788.6288999999</v>
      </c>
      <c r="M768" s="916">
        <v>5782535.4606999997</v>
      </c>
      <c r="N768" s="867" t="s">
        <v>8434</v>
      </c>
      <c r="O768" s="69" t="s">
        <v>194</v>
      </c>
      <c r="P768" s="69">
        <v>1</v>
      </c>
      <c r="Q768" s="78" t="s">
        <v>8951</v>
      </c>
      <c r="R768" s="79" t="s">
        <v>8980</v>
      </c>
      <c r="S768" s="71" t="s">
        <v>10</v>
      </c>
      <c r="T768" s="828" t="s">
        <v>8404</v>
      </c>
      <c r="U768" s="52" t="s">
        <v>8436</v>
      </c>
      <c r="V768" s="52" t="s">
        <v>6540</v>
      </c>
      <c r="W768" s="52" t="s">
        <v>37</v>
      </c>
      <c r="X768" s="53">
        <v>44390</v>
      </c>
      <c r="Y768" s="52"/>
      <c r="Z768" s="367"/>
      <c r="AA768" s="653"/>
    </row>
    <row r="769" spans="1:27" ht="26.25" x14ac:dyDescent="0.25">
      <c r="A769" s="341" t="s">
        <v>9577</v>
      </c>
      <c r="B769" s="181" t="s">
        <v>3630</v>
      </c>
      <c r="C769" s="125">
        <v>633</v>
      </c>
      <c r="D769" s="585" t="s">
        <v>52</v>
      </c>
      <c r="E769" s="585"/>
      <c r="F769" s="125" t="s">
        <v>2104</v>
      </c>
      <c r="G769" s="125" t="s">
        <v>1263</v>
      </c>
      <c r="H769" s="585"/>
      <c r="I769" s="879"/>
      <c r="J769" s="189">
        <v>5565</v>
      </c>
      <c r="K769" s="355" t="s">
        <v>9578</v>
      </c>
      <c r="L769" s="125">
        <v>1607460</v>
      </c>
      <c r="M769" s="125">
        <v>5283900</v>
      </c>
      <c r="N769" s="1007" t="s">
        <v>9488</v>
      </c>
      <c r="O769" s="255" t="s">
        <v>61</v>
      </c>
      <c r="P769" s="126" t="s">
        <v>419</v>
      </c>
      <c r="Q769" s="126" t="s">
        <v>9948</v>
      </c>
      <c r="R769" s="126" t="s">
        <v>4329</v>
      </c>
      <c r="S769" s="1008" t="s">
        <v>16</v>
      </c>
      <c r="T769" s="1006" t="s">
        <v>8363</v>
      </c>
      <c r="U769" s="40" t="s">
        <v>9441</v>
      </c>
      <c r="V769" s="40" t="s">
        <v>9442</v>
      </c>
      <c r="W769" s="40" t="s">
        <v>37</v>
      </c>
      <c r="X769" s="41">
        <v>44420</v>
      </c>
      <c r="Y769" s="1150"/>
      <c r="Z769" s="1157"/>
      <c r="AA769" s="1154"/>
    </row>
    <row r="770" spans="1:27" ht="26.25" x14ac:dyDescent="0.25">
      <c r="A770" s="339"/>
      <c r="B770" s="338"/>
      <c r="C770" s="277"/>
      <c r="D770" s="565"/>
      <c r="E770" s="565"/>
      <c r="F770" s="277"/>
      <c r="G770" s="277"/>
      <c r="H770" s="565"/>
      <c r="I770" s="880"/>
      <c r="J770" s="191">
        <v>5577</v>
      </c>
      <c r="K770" s="359" t="s">
        <v>9579</v>
      </c>
      <c r="L770" s="95">
        <v>1607510</v>
      </c>
      <c r="M770" s="95">
        <v>5283920</v>
      </c>
      <c r="N770" s="1010" t="s">
        <v>9580</v>
      </c>
      <c r="O770" s="259" t="s">
        <v>61</v>
      </c>
      <c r="P770" s="108" t="s">
        <v>419</v>
      </c>
      <c r="Q770" s="108" t="s">
        <v>9949</v>
      </c>
      <c r="R770" s="108" t="s">
        <v>4329</v>
      </c>
      <c r="S770" s="1009" t="s">
        <v>16</v>
      </c>
      <c r="T770" s="992" t="s">
        <v>4131</v>
      </c>
      <c r="U770" s="46" t="s">
        <v>9455</v>
      </c>
      <c r="V770" s="46" t="s">
        <v>9442</v>
      </c>
      <c r="W770" s="46" t="s">
        <v>37</v>
      </c>
      <c r="X770" s="47">
        <v>44420</v>
      </c>
      <c r="Y770" s="1151"/>
      <c r="Z770" s="894"/>
      <c r="AA770" s="1155"/>
    </row>
    <row r="771" spans="1:27" ht="26.25" x14ac:dyDescent="0.25">
      <c r="A771" s="339"/>
      <c r="B771" s="338"/>
      <c r="C771" s="277"/>
      <c r="D771" s="565"/>
      <c r="E771" s="565"/>
      <c r="F771" s="277"/>
      <c r="G771" s="277"/>
      <c r="H771" s="565"/>
      <c r="I771" s="880"/>
      <c r="J771" s="191">
        <v>5578</v>
      </c>
      <c r="K771" s="359" t="s">
        <v>9581</v>
      </c>
      <c r="L771" s="95">
        <v>1607470</v>
      </c>
      <c r="M771" s="95">
        <v>5283910</v>
      </c>
      <c r="N771" s="384" t="s">
        <v>9582</v>
      </c>
      <c r="O771" s="259" t="s">
        <v>61</v>
      </c>
      <c r="P771" s="108" t="s">
        <v>419</v>
      </c>
      <c r="Q771" s="108" t="s">
        <v>9950</v>
      </c>
      <c r="R771" s="108" t="s">
        <v>4329</v>
      </c>
      <c r="S771" s="1009" t="s">
        <v>16</v>
      </c>
      <c r="T771" s="992" t="s">
        <v>4131</v>
      </c>
      <c r="U771" s="46" t="s">
        <v>9441</v>
      </c>
      <c r="V771" s="46" t="s">
        <v>9442</v>
      </c>
      <c r="W771" s="46" t="s">
        <v>37</v>
      </c>
      <c r="X771" s="47">
        <v>44420</v>
      </c>
      <c r="Y771" s="1151"/>
      <c r="Z771" s="894"/>
      <c r="AA771" s="1155"/>
    </row>
    <row r="772" spans="1:27" ht="26.25" x14ac:dyDescent="0.25">
      <c r="A772" s="339"/>
      <c r="B772" s="338"/>
      <c r="C772" s="277"/>
      <c r="D772" s="565"/>
      <c r="E772" s="565"/>
      <c r="F772" s="277"/>
      <c r="G772" s="277"/>
      <c r="H772" s="565"/>
      <c r="I772" s="880"/>
      <c r="J772" s="191">
        <v>5579</v>
      </c>
      <c r="K772" s="359" t="s">
        <v>9583</v>
      </c>
      <c r="L772" s="95">
        <v>1607440</v>
      </c>
      <c r="M772" s="95">
        <v>5283890</v>
      </c>
      <c r="N772" s="1010" t="s">
        <v>9584</v>
      </c>
      <c r="O772" s="259" t="s">
        <v>61</v>
      </c>
      <c r="P772" s="108" t="s">
        <v>419</v>
      </c>
      <c r="Q772" s="108" t="s">
        <v>9888</v>
      </c>
      <c r="R772" s="108" t="s">
        <v>4329</v>
      </c>
      <c r="S772" s="1009" t="s">
        <v>16</v>
      </c>
      <c r="T772" s="992" t="s">
        <v>4131</v>
      </c>
      <c r="U772" s="46" t="s">
        <v>9455</v>
      </c>
      <c r="V772" s="46" t="s">
        <v>9442</v>
      </c>
      <c r="W772" s="46" t="s">
        <v>37</v>
      </c>
      <c r="X772" s="47">
        <v>44420</v>
      </c>
      <c r="Y772" s="1151"/>
      <c r="Z772" s="894"/>
      <c r="AA772" s="1155"/>
    </row>
    <row r="773" spans="1:27" ht="39" x14ac:dyDescent="0.25">
      <c r="A773" s="339"/>
      <c r="B773" s="338"/>
      <c r="C773" s="277"/>
      <c r="D773" s="565"/>
      <c r="E773" s="565"/>
      <c r="F773" s="277"/>
      <c r="G773" s="277"/>
      <c r="H773" s="565"/>
      <c r="I773" s="880"/>
      <c r="J773" s="191">
        <v>5580</v>
      </c>
      <c r="K773" s="359" t="s">
        <v>9585</v>
      </c>
      <c r="L773" s="95">
        <v>1607450</v>
      </c>
      <c r="M773" s="95">
        <v>5283900</v>
      </c>
      <c r="N773" s="1010" t="s">
        <v>9584</v>
      </c>
      <c r="O773" s="259" t="s">
        <v>61</v>
      </c>
      <c r="P773" s="108" t="s">
        <v>419</v>
      </c>
      <c r="Q773" s="108" t="s">
        <v>9888</v>
      </c>
      <c r="R773" s="108" t="s">
        <v>4329</v>
      </c>
      <c r="S773" s="1009" t="s">
        <v>16</v>
      </c>
      <c r="T773" s="992" t="s">
        <v>4131</v>
      </c>
      <c r="U773" s="46" t="s">
        <v>9506</v>
      </c>
      <c r="V773" s="46" t="s">
        <v>9442</v>
      </c>
      <c r="W773" s="46" t="s">
        <v>37</v>
      </c>
      <c r="X773" s="47">
        <v>44420</v>
      </c>
      <c r="Y773" s="1151"/>
      <c r="Z773" s="894"/>
      <c r="AA773" s="1155"/>
    </row>
    <row r="774" spans="1:27" ht="26.25" x14ac:dyDescent="0.25">
      <c r="A774" s="339"/>
      <c r="B774" s="338"/>
      <c r="C774" s="277"/>
      <c r="D774" s="565"/>
      <c r="E774" s="565"/>
      <c r="F774" s="277"/>
      <c r="G774" s="277"/>
      <c r="H774" s="565"/>
      <c r="I774" s="880"/>
      <c r="J774" s="191">
        <v>5586</v>
      </c>
      <c r="K774" s="359" t="s">
        <v>9586</v>
      </c>
      <c r="L774" s="95">
        <v>1607470</v>
      </c>
      <c r="M774" s="95">
        <v>5283900</v>
      </c>
      <c r="N774" s="384" t="s">
        <v>9587</v>
      </c>
      <c r="O774" s="259" t="s">
        <v>61</v>
      </c>
      <c r="P774" s="108" t="s">
        <v>419</v>
      </c>
      <c r="Q774" s="108" t="s">
        <v>9946</v>
      </c>
      <c r="R774" s="108" t="s">
        <v>4329</v>
      </c>
      <c r="S774" s="1009" t="s">
        <v>16</v>
      </c>
      <c r="T774" s="992" t="s">
        <v>4131</v>
      </c>
      <c r="U774" s="46" t="s">
        <v>9441</v>
      </c>
      <c r="V774" s="46" t="s">
        <v>9442</v>
      </c>
      <c r="W774" s="46" t="s">
        <v>37</v>
      </c>
      <c r="X774" s="47">
        <v>44420</v>
      </c>
      <c r="Y774" s="1151"/>
      <c r="Z774" s="894"/>
      <c r="AA774" s="1155"/>
    </row>
    <row r="775" spans="1:27" ht="26.25" x14ac:dyDescent="0.25">
      <c r="A775" s="339"/>
      <c r="B775" s="338"/>
      <c r="C775" s="277"/>
      <c r="D775" s="565"/>
      <c r="E775" s="565"/>
      <c r="F775" s="277"/>
      <c r="G775" s="277"/>
      <c r="H775" s="565"/>
      <c r="I775" s="880"/>
      <c r="J775" s="191">
        <v>5589</v>
      </c>
      <c r="K775" s="359" t="s">
        <v>9588</v>
      </c>
      <c r="L775" s="95">
        <v>1608170</v>
      </c>
      <c r="M775" s="95">
        <v>5284600</v>
      </c>
      <c r="N775" s="1010" t="s">
        <v>9589</v>
      </c>
      <c r="O775" s="259" t="s">
        <v>61</v>
      </c>
      <c r="P775" s="108" t="s">
        <v>419</v>
      </c>
      <c r="Q775" s="108" t="s">
        <v>671</v>
      </c>
      <c r="R775" s="108" t="s">
        <v>4329</v>
      </c>
      <c r="S775" s="1009" t="s">
        <v>16</v>
      </c>
      <c r="T775" s="992" t="s">
        <v>4131</v>
      </c>
      <c r="U775" s="46" t="s">
        <v>9441</v>
      </c>
      <c r="V775" s="46" t="s">
        <v>9442</v>
      </c>
      <c r="W775" s="46" t="s">
        <v>37</v>
      </c>
      <c r="X775" s="47">
        <v>44420</v>
      </c>
      <c r="Y775" s="1151"/>
      <c r="Z775" s="894"/>
      <c r="AA775" s="1155"/>
    </row>
    <row r="776" spans="1:27" ht="26.25" x14ac:dyDescent="0.25">
      <c r="A776" s="339"/>
      <c r="B776" s="338"/>
      <c r="C776" s="277"/>
      <c r="D776" s="565"/>
      <c r="E776" s="565"/>
      <c r="F776" s="277"/>
      <c r="G776" s="277"/>
      <c r="H776" s="565"/>
      <c r="I776" s="880"/>
      <c r="J776" s="191">
        <v>5590</v>
      </c>
      <c r="K776" s="359" t="s">
        <v>9590</v>
      </c>
      <c r="L776" s="95">
        <v>1608120</v>
      </c>
      <c r="M776" s="95">
        <v>5284570</v>
      </c>
      <c r="N776" s="1010" t="s">
        <v>9591</v>
      </c>
      <c r="O776" s="259" t="s">
        <v>61</v>
      </c>
      <c r="P776" s="108" t="s">
        <v>419</v>
      </c>
      <c r="Q776" s="108" t="s">
        <v>9085</v>
      </c>
      <c r="R776" s="108" t="s">
        <v>4329</v>
      </c>
      <c r="S776" s="1009" t="s">
        <v>16</v>
      </c>
      <c r="T776" s="992" t="s">
        <v>4131</v>
      </c>
      <c r="U776" s="46" t="s">
        <v>9441</v>
      </c>
      <c r="V776" s="46" t="s">
        <v>9442</v>
      </c>
      <c r="W776" s="46" t="s">
        <v>37</v>
      </c>
      <c r="X776" s="47">
        <v>44420</v>
      </c>
      <c r="Y776" s="1151"/>
      <c r="Z776" s="894"/>
      <c r="AA776" s="1155"/>
    </row>
    <row r="777" spans="1:27" ht="39" x14ac:dyDescent="0.25">
      <c r="A777" s="339"/>
      <c r="B777" s="338"/>
      <c r="C777" s="277"/>
      <c r="D777" s="565"/>
      <c r="E777" s="565"/>
      <c r="F777" s="277"/>
      <c r="G777" s="277"/>
      <c r="H777" s="565"/>
      <c r="I777" s="880"/>
      <c r="J777" s="191">
        <v>5591</v>
      </c>
      <c r="K777" s="359" t="s">
        <v>9592</v>
      </c>
      <c r="L777" s="95">
        <v>1608110</v>
      </c>
      <c r="M777" s="95">
        <v>5284550</v>
      </c>
      <c r="N777" s="384" t="s">
        <v>9593</v>
      </c>
      <c r="O777" s="259" t="s">
        <v>61</v>
      </c>
      <c r="P777" s="108" t="s">
        <v>419</v>
      </c>
      <c r="Q777" s="108" t="s">
        <v>9086</v>
      </c>
      <c r="R777" s="108" t="s">
        <v>4329</v>
      </c>
      <c r="S777" s="1009" t="s">
        <v>16</v>
      </c>
      <c r="T777" s="992" t="s">
        <v>4131</v>
      </c>
      <c r="U777" s="46" t="s">
        <v>9506</v>
      </c>
      <c r="V777" s="46" t="s">
        <v>9442</v>
      </c>
      <c r="W777" s="46" t="s">
        <v>37</v>
      </c>
      <c r="X777" s="47">
        <v>44420</v>
      </c>
      <c r="Y777" s="1151"/>
      <c r="Z777" s="894"/>
      <c r="AA777" s="1155"/>
    </row>
    <row r="778" spans="1:27" ht="26.25" x14ac:dyDescent="0.25">
      <c r="A778" s="339"/>
      <c r="B778" s="338"/>
      <c r="C778" s="277"/>
      <c r="D778" s="565"/>
      <c r="E778" s="565"/>
      <c r="F778" s="277"/>
      <c r="G778" s="277"/>
      <c r="H778" s="565"/>
      <c r="I778" s="880"/>
      <c r="J778" s="191">
        <v>5592</v>
      </c>
      <c r="K778" s="359" t="s">
        <v>9594</v>
      </c>
      <c r="L778" s="95">
        <v>1607420</v>
      </c>
      <c r="M778" s="95">
        <v>5283870</v>
      </c>
      <c r="N778" s="1010" t="s">
        <v>9595</v>
      </c>
      <c r="O778" s="259" t="s">
        <v>61</v>
      </c>
      <c r="P778" s="108" t="s">
        <v>419</v>
      </c>
      <c r="Q778" s="108" t="s">
        <v>9951</v>
      </c>
      <c r="R778" s="108" t="s">
        <v>4329</v>
      </c>
      <c r="S778" s="1009" t="s">
        <v>16</v>
      </c>
      <c r="T778" s="992" t="s">
        <v>4131</v>
      </c>
      <c r="U778" s="46" t="s">
        <v>9455</v>
      </c>
      <c r="V778" s="46" t="s">
        <v>9442</v>
      </c>
      <c r="W778" s="46" t="s">
        <v>37</v>
      </c>
      <c r="X778" s="47">
        <v>44420</v>
      </c>
      <c r="Y778" s="1151"/>
      <c r="Z778" s="894"/>
      <c r="AA778" s="1155"/>
    </row>
    <row r="779" spans="1:27" ht="26.25" x14ac:dyDescent="0.25">
      <c r="A779" s="339"/>
      <c r="B779" s="338"/>
      <c r="C779" s="277"/>
      <c r="D779" s="565"/>
      <c r="E779" s="565"/>
      <c r="F779" s="277"/>
      <c r="G779" s="277"/>
      <c r="H779" s="565"/>
      <c r="I779" s="880"/>
      <c r="J779" s="191">
        <v>5593</v>
      </c>
      <c r="K779" s="359" t="s">
        <v>9596</v>
      </c>
      <c r="L779" s="95">
        <v>1607390</v>
      </c>
      <c r="M779" s="95">
        <v>5283890</v>
      </c>
      <c r="N779" s="1010" t="s">
        <v>9597</v>
      </c>
      <c r="O779" s="259" t="s">
        <v>61</v>
      </c>
      <c r="P779" s="108" t="s">
        <v>419</v>
      </c>
      <c r="Q779" s="108" t="s">
        <v>9942</v>
      </c>
      <c r="R779" s="108" t="s">
        <v>4329</v>
      </c>
      <c r="S779" s="1009" t="s">
        <v>16</v>
      </c>
      <c r="T779" s="992" t="s">
        <v>4131</v>
      </c>
      <c r="U779" s="46" t="s">
        <v>9455</v>
      </c>
      <c r="V779" s="46" t="s">
        <v>9442</v>
      </c>
      <c r="W779" s="46" t="s">
        <v>37</v>
      </c>
      <c r="X779" s="47">
        <v>44420</v>
      </c>
      <c r="Y779" s="1151"/>
      <c r="Z779" s="894"/>
      <c r="AA779" s="1155"/>
    </row>
    <row r="780" spans="1:27" ht="26.25" x14ac:dyDescent="0.25">
      <c r="A780" s="339"/>
      <c r="B780" s="338"/>
      <c r="C780" s="277"/>
      <c r="D780" s="565"/>
      <c r="E780" s="565"/>
      <c r="F780" s="277"/>
      <c r="G780" s="277"/>
      <c r="H780" s="565"/>
      <c r="I780" s="880"/>
      <c r="J780" s="191">
        <v>5594</v>
      </c>
      <c r="K780" s="359" t="s">
        <v>9598</v>
      </c>
      <c r="L780" s="95">
        <v>1607190</v>
      </c>
      <c r="M780" s="95">
        <v>5283820</v>
      </c>
      <c r="N780" s="108" t="s">
        <v>9599</v>
      </c>
      <c r="O780" s="259" t="s">
        <v>61</v>
      </c>
      <c r="P780" s="108" t="s">
        <v>419</v>
      </c>
      <c r="Q780" s="108" t="s">
        <v>9939</v>
      </c>
      <c r="R780" s="108" t="s">
        <v>4329</v>
      </c>
      <c r="S780" s="1009" t="s">
        <v>16</v>
      </c>
      <c r="T780" s="992" t="s">
        <v>4131</v>
      </c>
      <c r="U780" s="46" t="s">
        <v>9482</v>
      </c>
      <c r="V780" s="46" t="s">
        <v>9442</v>
      </c>
      <c r="W780" s="46" t="s">
        <v>37</v>
      </c>
      <c r="X780" s="47">
        <v>44420</v>
      </c>
      <c r="Y780" s="1151"/>
      <c r="Z780" s="894"/>
      <c r="AA780" s="1155"/>
    </row>
    <row r="781" spans="1:27" ht="39" x14ac:dyDescent="0.25">
      <c r="A781" s="339"/>
      <c r="B781" s="338"/>
      <c r="C781" s="277"/>
      <c r="D781" s="565"/>
      <c r="E781" s="565"/>
      <c r="F781" s="277"/>
      <c r="G781" s="277"/>
      <c r="H781" s="565"/>
      <c r="I781" s="880"/>
      <c r="J781" s="191">
        <v>5595</v>
      </c>
      <c r="K781" s="359" t="s">
        <v>9600</v>
      </c>
      <c r="L781" s="95">
        <v>1607080</v>
      </c>
      <c r="M781" s="95">
        <v>5283800</v>
      </c>
      <c r="N781" s="108" t="s">
        <v>9601</v>
      </c>
      <c r="O781" s="259" t="s">
        <v>61</v>
      </c>
      <c r="P781" s="108" t="s">
        <v>419</v>
      </c>
      <c r="Q781" s="108" t="s">
        <v>9931</v>
      </c>
      <c r="R781" s="108" t="s">
        <v>4329</v>
      </c>
      <c r="S781" s="1009" t="s">
        <v>16</v>
      </c>
      <c r="T781" s="992" t="s">
        <v>4131</v>
      </c>
      <c r="U781" s="46" t="s">
        <v>9506</v>
      </c>
      <c r="V781" s="46" t="s">
        <v>9442</v>
      </c>
      <c r="W781" s="46" t="s">
        <v>37</v>
      </c>
      <c r="X781" s="47">
        <v>44420</v>
      </c>
      <c r="Y781" s="1151"/>
      <c r="Z781" s="894"/>
      <c r="AA781" s="1155"/>
    </row>
    <row r="782" spans="1:27" ht="39" x14ac:dyDescent="0.25">
      <c r="A782" s="339"/>
      <c r="B782" s="338"/>
      <c r="C782" s="277"/>
      <c r="D782" s="565"/>
      <c r="E782" s="565"/>
      <c r="F782" s="277"/>
      <c r="G782" s="277"/>
      <c r="H782" s="565"/>
      <c r="I782" s="880"/>
      <c r="J782" s="191">
        <v>5596</v>
      </c>
      <c r="K782" s="359" t="s">
        <v>9602</v>
      </c>
      <c r="L782" s="95">
        <v>1606930</v>
      </c>
      <c r="M782" s="95">
        <v>5283760</v>
      </c>
      <c r="N782" s="1010" t="s">
        <v>9603</v>
      </c>
      <c r="O782" s="259" t="s">
        <v>61</v>
      </c>
      <c r="P782" s="108" t="s">
        <v>419</v>
      </c>
      <c r="Q782" s="108" t="s">
        <v>9940</v>
      </c>
      <c r="R782" s="108" t="s">
        <v>4329</v>
      </c>
      <c r="S782" s="1009" t="s">
        <v>16</v>
      </c>
      <c r="T782" s="992" t="s">
        <v>8412</v>
      </c>
      <c r="U782" s="46" t="s">
        <v>9506</v>
      </c>
      <c r="V782" s="46" t="s">
        <v>9442</v>
      </c>
      <c r="W782" s="46" t="s">
        <v>37</v>
      </c>
      <c r="X782" s="47">
        <v>44420</v>
      </c>
      <c r="Y782" s="1151"/>
      <c r="Z782" s="894"/>
      <c r="AA782" s="1155"/>
    </row>
    <row r="783" spans="1:27" ht="26.25" x14ac:dyDescent="0.25">
      <c r="A783" s="339"/>
      <c r="B783" s="338"/>
      <c r="C783" s="277"/>
      <c r="D783" s="565"/>
      <c r="E783" s="565"/>
      <c r="F783" s="277"/>
      <c r="G783" s="277"/>
      <c r="H783" s="565"/>
      <c r="I783" s="880"/>
      <c r="J783" s="191">
        <v>5597</v>
      </c>
      <c r="K783" s="359" t="s">
        <v>9604</v>
      </c>
      <c r="L783" s="95">
        <v>1607200</v>
      </c>
      <c r="M783" s="95">
        <v>5283710</v>
      </c>
      <c r="N783" s="1010" t="s">
        <v>9605</v>
      </c>
      <c r="O783" s="259" t="s">
        <v>61</v>
      </c>
      <c r="P783" s="108" t="s">
        <v>419</v>
      </c>
      <c r="Q783" s="108" t="s">
        <v>9941</v>
      </c>
      <c r="R783" s="108" t="s">
        <v>4329</v>
      </c>
      <c r="S783" s="1009" t="s">
        <v>16</v>
      </c>
      <c r="T783" s="992" t="s">
        <v>4131</v>
      </c>
      <c r="U783" s="46" t="s">
        <v>9441</v>
      </c>
      <c r="V783" s="46" t="s">
        <v>9442</v>
      </c>
      <c r="W783" s="46" t="s">
        <v>37</v>
      </c>
      <c r="X783" s="47">
        <v>44420</v>
      </c>
      <c r="Y783" s="1151"/>
      <c r="Z783" s="894"/>
      <c r="AA783" s="1155"/>
    </row>
    <row r="784" spans="1:27" ht="26.25" x14ac:dyDescent="0.25">
      <c r="A784" s="339"/>
      <c r="B784" s="338"/>
      <c r="C784" s="277"/>
      <c r="D784" s="565"/>
      <c r="E784" s="565"/>
      <c r="F784" s="277"/>
      <c r="G784" s="277"/>
      <c r="H784" s="565"/>
      <c r="I784" s="880"/>
      <c r="J784" s="191">
        <v>5598</v>
      </c>
      <c r="K784" s="359" t="s">
        <v>9606</v>
      </c>
      <c r="L784" s="95">
        <v>1607190</v>
      </c>
      <c r="M784" s="95">
        <v>5283700</v>
      </c>
      <c r="N784" s="108" t="s">
        <v>9607</v>
      </c>
      <c r="O784" s="259" t="s">
        <v>61</v>
      </c>
      <c r="P784" s="108" t="s">
        <v>419</v>
      </c>
      <c r="Q784" s="108" t="s">
        <v>677</v>
      </c>
      <c r="R784" s="108" t="s">
        <v>4329</v>
      </c>
      <c r="S784" s="1009" t="s">
        <v>16</v>
      </c>
      <c r="T784" s="992" t="s">
        <v>9608</v>
      </c>
      <c r="U784" s="46" t="s">
        <v>9441</v>
      </c>
      <c r="V784" s="46" t="s">
        <v>9442</v>
      </c>
      <c r="W784" s="46" t="s">
        <v>37</v>
      </c>
      <c r="X784" s="47">
        <v>44420</v>
      </c>
      <c r="Y784" s="1151"/>
      <c r="Z784" s="894"/>
      <c r="AA784" s="1155"/>
    </row>
    <row r="785" spans="1:27" ht="26.25" x14ac:dyDescent="0.25">
      <c r="A785" s="339"/>
      <c r="B785" s="338"/>
      <c r="C785" s="277"/>
      <c r="D785" s="565"/>
      <c r="E785" s="565"/>
      <c r="F785" s="277"/>
      <c r="G785" s="277"/>
      <c r="H785" s="565"/>
      <c r="I785" s="880"/>
      <c r="J785" s="191">
        <v>5599</v>
      </c>
      <c r="K785" s="359" t="s">
        <v>9609</v>
      </c>
      <c r="L785" s="95">
        <v>1607170</v>
      </c>
      <c r="M785" s="95">
        <v>5283700</v>
      </c>
      <c r="N785" s="1010" t="s">
        <v>9610</v>
      </c>
      <c r="O785" s="259" t="s">
        <v>61</v>
      </c>
      <c r="P785" s="108" t="s">
        <v>419</v>
      </c>
      <c r="Q785" s="108" t="s">
        <v>1248</v>
      </c>
      <c r="R785" s="108" t="s">
        <v>4329</v>
      </c>
      <c r="S785" s="1009" t="s">
        <v>16</v>
      </c>
      <c r="T785" s="992" t="s">
        <v>9608</v>
      </c>
      <c r="U785" s="46" t="s">
        <v>9441</v>
      </c>
      <c r="V785" s="46" t="s">
        <v>9442</v>
      </c>
      <c r="W785" s="46" t="s">
        <v>37</v>
      </c>
      <c r="X785" s="47">
        <v>44420</v>
      </c>
      <c r="Y785" s="1151"/>
      <c r="Z785" s="894"/>
      <c r="AA785" s="1155"/>
    </row>
    <row r="786" spans="1:27" ht="26.25" x14ac:dyDescent="0.25">
      <c r="A786" s="339"/>
      <c r="B786" s="338"/>
      <c r="C786" s="277"/>
      <c r="D786" s="565"/>
      <c r="E786" s="565"/>
      <c r="F786" s="277"/>
      <c r="G786" s="277"/>
      <c r="H786" s="565"/>
      <c r="I786" s="880"/>
      <c r="J786" s="191">
        <v>5600</v>
      </c>
      <c r="K786" s="359" t="s">
        <v>9611</v>
      </c>
      <c r="L786" s="95">
        <v>1607160</v>
      </c>
      <c r="M786" s="95">
        <v>5283690</v>
      </c>
      <c r="N786" s="384" t="s">
        <v>9612</v>
      </c>
      <c r="O786" s="259" t="s">
        <v>61</v>
      </c>
      <c r="P786" s="108" t="s">
        <v>419</v>
      </c>
      <c r="Q786" s="108" t="s">
        <v>9811</v>
      </c>
      <c r="R786" s="108" t="s">
        <v>4329</v>
      </c>
      <c r="S786" s="1009" t="s">
        <v>16</v>
      </c>
      <c r="T786" s="992" t="s">
        <v>4131</v>
      </c>
      <c r="U786" s="46" t="s">
        <v>9441</v>
      </c>
      <c r="V786" s="46" t="s">
        <v>9442</v>
      </c>
      <c r="W786" s="46" t="s">
        <v>37</v>
      </c>
      <c r="X786" s="47">
        <v>44420</v>
      </c>
      <c r="Y786" s="1151"/>
      <c r="Z786" s="894"/>
      <c r="AA786" s="1155"/>
    </row>
    <row r="787" spans="1:27" ht="26.25" x14ac:dyDescent="0.25">
      <c r="A787" s="339"/>
      <c r="B787" s="338"/>
      <c r="C787" s="277"/>
      <c r="D787" s="565"/>
      <c r="E787" s="565"/>
      <c r="F787" s="277"/>
      <c r="G787" s="277"/>
      <c r="H787" s="565"/>
      <c r="I787" s="880"/>
      <c r="J787" s="191">
        <v>5601</v>
      </c>
      <c r="K787" s="359" t="s">
        <v>9613</v>
      </c>
      <c r="L787" s="95">
        <v>1607160</v>
      </c>
      <c r="M787" s="95">
        <v>5283720</v>
      </c>
      <c r="N787" s="1010" t="s">
        <v>9614</v>
      </c>
      <c r="O787" s="259" t="s">
        <v>61</v>
      </c>
      <c r="P787" s="108" t="s">
        <v>419</v>
      </c>
      <c r="Q787" s="108" t="s">
        <v>9952</v>
      </c>
      <c r="R787" s="108" t="s">
        <v>4329</v>
      </c>
      <c r="S787" s="1009" t="s">
        <v>16</v>
      </c>
      <c r="T787" s="992" t="s">
        <v>9552</v>
      </c>
      <c r="U787" s="46" t="s">
        <v>9441</v>
      </c>
      <c r="V787" s="46" t="s">
        <v>9442</v>
      </c>
      <c r="W787" s="46" t="s">
        <v>37</v>
      </c>
      <c r="X787" s="47">
        <v>44420</v>
      </c>
      <c r="Y787" s="1151"/>
      <c r="Z787" s="894"/>
      <c r="AA787" s="1155"/>
    </row>
    <row r="788" spans="1:27" ht="39" x14ac:dyDescent="0.25">
      <c r="A788" s="339"/>
      <c r="B788" s="338"/>
      <c r="C788" s="277"/>
      <c r="D788" s="565"/>
      <c r="E788" s="565"/>
      <c r="F788" s="277"/>
      <c r="G788" s="277"/>
      <c r="H788" s="565"/>
      <c r="I788" s="880"/>
      <c r="J788" s="191">
        <v>5602</v>
      </c>
      <c r="K788" s="359" t="s">
        <v>9615</v>
      </c>
      <c r="L788" s="95">
        <v>1606920</v>
      </c>
      <c r="M788" s="95">
        <v>5283470</v>
      </c>
      <c r="N788" s="384" t="s">
        <v>9616</v>
      </c>
      <c r="O788" s="259" t="s">
        <v>61</v>
      </c>
      <c r="P788" s="108" t="s">
        <v>419</v>
      </c>
      <c r="Q788" s="108" t="s">
        <v>9939</v>
      </c>
      <c r="R788" s="108" t="s">
        <v>4329</v>
      </c>
      <c r="S788" s="1009" t="s">
        <v>16</v>
      </c>
      <c r="T788" s="992" t="s">
        <v>4131</v>
      </c>
      <c r="U788" s="46" t="s">
        <v>9506</v>
      </c>
      <c r="V788" s="46" t="s">
        <v>9442</v>
      </c>
      <c r="W788" s="46" t="s">
        <v>37</v>
      </c>
      <c r="X788" s="47">
        <v>44420</v>
      </c>
      <c r="Y788" s="1151"/>
      <c r="Z788" s="894"/>
      <c r="AA788" s="1155"/>
    </row>
    <row r="789" spans="1:27" ht="26.25" x14ac:dyDescent="0.25">
      <c r="A789" s="339"/>
      <c r="B789" s="338"/>
      <c r="C789" s="277"/>
      <c r="D789" s="565"/>
      <c r="E789" s="565"/>
      <c r="F789" s="277"/>
      <c r="G789" s="277"/>
      <c r="H789" s="565"/>
      <c r="I789" s="880"/>
      <c r="J789" s="191">
        <v>5636</v>
      </c>
      <c r="K789" s="359" t="s">
        <v>9617</v>
      </c>
      <c r="L789" s="95">
        <v>1605640</v>
      </c>
      <c r="M789" s="95">
        <v>5282810</v>
      </c>
      <c r="N789" s="108" t="s">
        <v>9618</v>
      </c>
      <c r="O789" s="259" t="s">
        <v>61</v>
      </c>
      <c r="P789" s="108" t="s">
        <v>419</v>
      </c>
      <c r="Q789" s="108" t="s">
        <v>8951</v>
      </c>
      <c r="R789" s="108" t="s">
        <v>4329</v>
      </c>
      <c r="S789" s="1009" t="s">
        <v>16</v>
      </c>
      <c r="T789" s="992" t="s">
        <v>8363</v>
      </c>
      <c r="U789" s="46" t="s">
        <v>9441</v>
      </c>
      <c r="V789" s="46" t="s">
        <v>9442</v>
      </c>
      <c r="W789" s="46" t="s">
        <v>37</v>
      </c>
      <c r="X789" s="47">
        <v>44420</v>
      </c>
      <c r="Y789" s="1151"/>
      <c r="Z789" s="894"/>
      <c r="AA789" s="1155"/>
    </row>
    <row r="790" spans="1:27" ht="26.25" x14ac:dyDescent="0.25">
      <c r="A790" s="339"/>
      <c r="B790" s="338"/>
      <c r="C790" s="277"/>
      <c r="D790" s="565"/>
      <c r="E790" s="565"/>
      <c r="F790" s="277"/>
      <c r="G790" s="277"/>
      <c r="H790" s="565"/>
      <c r="I790" s="880"/>
      <c r="J790" s="191">
        <v>5637</v>
      </c>
      <c r="K790" s="359" t="s">
        <v>9619</v>
      </c>
      <c r="L790" s="95">
        <v>1605640</v>
      </c>
      <c r="M790" s="95">
        <v>5282810</v>
      </c>
      <c r="N790" s="1010" t="s">
        <v>9620</v>
      </c>
      <c r="O790" s="259" t="s">
        <v>61</v>
      </c>
      <c r="P790" s="108" t="s">
        <v>419</v>
      </c>
      <c r="Q790" s="108" t="s">
        <v>9953</v>
      </c>
      <c r="R790" s="108" t="s">
        <v>4329</v>
      </c>
      <c r="S790" s="1009" t="s">
        <v>16</v>
      </c>
      <c r="T790" s="992" t="s">
        <v>4131</v>
      </c>
      <c r="U790" s="46" t="s">
        <v>9482</v>
      </c>
      <c r="V790" s="46" t="s">
        <v>9442</v>
      </c>
      <c r="W790" s="46" t="s">
        <v>37</v>
      </c>
      <c r="X790" s="47">
        <v>44420</v>
      </c>
      <c r="Y790" s="1151"/>
      <c r="Z790" s="894"/>
      <c r="AA790" s="1155"/>
    </row>
    <row r="791" spans="1:27" ht="26.25" x14ac:dyDescent="0.25">
      <c r="A791" s="339"/>
      <c r="B791" s="338"/>
      <c r="C791" s="277"/>
      <c r="D791" s="565"/>
      <c r="E791" s="565"/>
      <c r="F791" s="277"/>
      <c r="G791" s="277"/>
      <c r="H791" s="565"/>
      <c r="I791" s="880"/>
      <c r="J791" s="191">
        <v>5660</v>
      </c>
      <c r="K791" s="359" t="s">
        <v>9621</v>
      </c>
      <c r="L791" s="95">
        <v>1606250</v>
      </c>
      <c r="M791" s="95">
        <v>5283080</v>
      </c>
      <c r="N791" s="1010" t="s">
        <v>9622</v>
      </c>
      <c r="O791" s="259" t="s">
        <v>2090</v>
      </c>
      <c r="P791" s="108" t="s">
        <v>419</v>
      </c>
      <c r="Q791" s="108" t="s">
        <v>9940</v>
      </c>
      <c r="R791" s="108" t="s">
        <v>4329</v>
      </c>
      <c r="S791" s="1009" t="s">
        <v>16</v>
      </c>
      <c r="T791" s="992" t="s">
        <v>9623</v>
      </c>
      <c r="U791" s="46" t="s">
        <v>9482</v>
      </c>
      <c r="V791" s="46" t="s">
        <v>9442</v>
      </c>
      <c r="W791" s="46" t="s">
        <v>37</v>
      </c>
      <c r="X791" s="47">
        <v>44420</v>
      </c>
      <c r="Y791" s="1151"/>
      <c r="Z791" s="894"/>
      <c r="AA791" s="1155"/>
    </row>
    <row r="792" spans="1:27" ht="26.25" x14ac:dyDescent="0.25">
      <c r="A792" s="339"/>
      <c r="B792" s="338"/>
      <c r="C792" s="277"/>
      <c r="D792" s="565"/>
      <c r="E792" s="565"/>
      <c r="F792" s="277"/>
      <c r="G792" s="277"/>
      <c r="H792" s="565"/>
      <c r="I792" s="880"/>
      <c r="J792" s="191">
        <v>5665</v>
      </c>
      <c r="K792" s="359" t="s">
        <v>9624</v>
      </c>
      <c r="L792" s="95">
        <v>1606280</v>
      </c>
      <c r="M792" s="95">
        <v>5283050</v>
      </c>
      <c r="N792" s="384" t="s">
        <v>9625</v>
      </c>
      <c r="O792" s="259" t="s">
        <v>2090</v>
      </c>
      <c r="P792" s="108" t="s">
        <v>419</v>
      </c>
      <c r="Q792" s="108" t="s">
        <v>9954</v>
      </c>
      <c r="R792" s="108" t="s">
        <v>4329</v>
      </c>
      <c r="S792" s="1009" t="s">
        <v>16</v>
      </c>
      <c r="T792" s="992" t="s">
        <v>4131</v>
      </c>
      <c r="U792" s="46" t="s">
        <v>9482</v>
      </c>
      <c r="V792" s="46" t="s">
        <v>9442</v>
      </c>
      <c r="W792" s="46" t="s">
        <v>37</v>
      </c>
      <c r="X792" s="47">
        <v>44420</v>
      </c>
      <c r="Y792" s="1151"/>
      <c r="Z792" s="894"/>
      <c r="AA792" s="1155"/>
    </row>
    <row r="793" spans="1:27" ht="26.25" x14ac:dyDescent="0.25">
      <c r="A793" s="339"/>
      <c r="B793" s="338"/>
      <c r="C793" s="277"/>
      <c r="D793" s="565"/>
      <c r="E793" s="565"/>
      <c r="F793" s="277"/>
      <c r="G793" s="277"/>
      <c r="H793" s="565"/>
      <c r="I793" s="880"/>
      <c r="J793" s="191">
        <v>5666</v>
      </c>
      <c r="K793" s="359" t="s">
        <v>9626</v>
      </c>
      <c r="L793" s="95">
        <v>1606410</v>
      </c>
      <c r="M793" s="95">
        <v>5282990</v>
      </c>
      <c r="N793" s="384" t="s">
        <v>9627</v>
      </c>
      <c r="O793" s="259" t="s">
        <v>2090</v>
      </c>
      <c r="P793" s="108" t="s">
        <v>419</v>
      </c>
      <c r="Q793" s="108" t="s">
        <v>9943</v>
      </c>
      <c r="R793" s="108" t="s">
        <v>4329</v>
      </c>
      <c r="S793" s="1009" t="s">
        <v>16</v>
      </c>
      <c r="T793" s="992" t="s">
        <v>4131</v>
      </c>
      <c r="U793" s="46" t="s">
        <v>9482</v>
      </c>
      <c r="V793" s="46" t="s">
        <v>9442</v>
      </c>
      <c r="W793" s="46" t="s">
        <v>37</v>
      </c>
      <c r="X793" s="47">
        <v>44420</v>
      </c>
      <c r="Y793" s="1151"/>
      <c r="Z793" s="894"/>
      <c r="AA793" s="1155"/>
    </row>
    <row r="794" spans="1:27" ht="27" thickBot="1" x14ac:dyDescent="0.3">
      <c r="A794" s="339"/>
      <c r="B794" s="338"/>
      <c r="C794" s="277"/>
      <c r="D794" s="565"/>
      <c r="E794" s="565"/>
      <c r="F794" s="277"/>
      <c r="G794" s="277"/>
      <c r="H794" s="565"/>
      <c r="I794" s="880"/>
      <c r="J794" s="190">
        <v>5676</v>
      </c>
      <c r="K794" s="357" t="s">
        <v>9628</v>
      </c>
      <c r="L794" s="96">
        <v>1606350</v>
      </c>
      <c r="M794" s="96">
        <v>5282940</v>
      </c>
      <c r="N794" s="107" t="s">
        <v>9629</v>
      </c>
      <c r="O794" s="262" t="s">
        <v>2090</v>
      </c>
      <c r="P794" s="107" t="s">
        <v>419</v>
      </c>
      <c r="Q794" s="107" t="s">
        <v>9944</v>
      </c>
      <c r="R794" s="107" t="s">
        <v>4329</v>
      </c>
      <c r="S794" s="1012" t="s">
        <v>16</v>
      </c>
      <c r="T794" s="850" t="s">
        <v>4131</v>
      </c>
      <c r="U794" s="52" t="s">
        <v>9482</v>
      </c>
      <c r="V794" s="52" t="s">
        <v>9442</v>
      </c>
      <c r="W794" s="52" t="s">
        <v>37</v>
      </c>
      <c r="X794" s="53">
        <v>44420</v>
      </c>
      <c r="Y794" s="1152"/>
      <c r="Z794" s="1158"/>
      <c r="AA794" s="1156"/>
    </row>
    <row r="795" spans="1:27" ht="26.25" x14ac:dyDescent="0.25">
      <c r="A795" s="339"/>
      <c r="B795" s="338"/>
      <c r="C795" s="277"/>
      <c r="D795" s="565"/>
      <c r="E795" s="565"/>
      <c r="F795" s="277"/>
      <c r="G795" s="277"/>
      <c r="H795" s="565"/>
      <c r="I795" s="880"/>
      <c r="J795" s="189">
        <v>5588</v>
      </c>
      <c r="K795" s="355" t="s">
        <v>9630</v>
      </c>
      <c r="L795" s="125">
        <v>1608410</v>
      </c>
      <c r="M795" s="125">
        <v>5281840</v>
      </c>
      <c r="N795" s="558" t="s">
        <v>9631</v>
      </c>
      <c r="O795" s="255" t="s">
        <v>61</v>
      </c>
      <c r="P795" s="126" t="s">
        <v>419</v>
      </c>
      <c r="Q795" s="126" t="s">
        <v>9945</v>
      </c>
      <c r="R795" s="126" t="s">
        <v>4329</v>
      </c>
      <c r="S795" s="1008" t="s">
        <v>16</v>
      </c>
      <c r="T795" s="1006" t="s">
        <v>8363</v>
      </c>
      <c r="U795" s="40" t="s">
        <v>9482</v>
      </c>
      <c r="V795" s="40" t="s">
        <v>9442</v>
      </c>
      <c r="W795" s="40" t="s">
        <v>37</v>
      </c>
      <c r="X795" s="41">
        <v>44420</v>
      </c>
      <c r="Y795" s="1150"/>
      <c r="Z795" s="1157"/>
      <c r="AA795" s="1154"/>
    </row>
    <row r="796" spans="1:27" ht="26.25" x14ac:dyDescent="0.25">
      <c r="A796" s="339"/>
      <c r="B796" s="338"/>
      <c r="C796" s="277"/>
      <c r="D796" s="565"/>
      <c r="E796" s="565"/>
      <c r="F796" s="277"/>
      <c r="G796" s="277"/>
      <c r="H796" s="565"/>
      <c r="I796" s="880"/>
      <c r="J796" s="191">
        <v>5616</v>
      </c>
      <c r="K796" s="359" t="s">
        <v>9632</v>
      </c>
      <c r="L796" s="95">
        <v>1609020</v>
      </c>
      <c r="M796" s="95">
        <v>5282040</v>
      </c>
      <c r="N796" s="1010" t="s">
        <v>9633</v>
      </c>
      <c r="O796" s="259" t="s">
        <v>61</v>
      </c>
      <c r="P796" s="108" t="s">
        <v>419</v>
      </c>
      <c r="Q796" s="108" t="s">
        <v>9955</v>
      </c>
      <c r="R796" s="108" t="s">
        <v>4329</v>
      </c>
      <c r="S796" s="1009" t="s">
        <v>16</v>
      </c>
      <c r="T796" s="992" t="s">
        <v>4131</v>
      </c>
      <c r="U796" s="46" t="s">
        <v>9482</v>
      </c>
      <c r="V796" s="46" t="s">
        <v>9442</v>
      </c>
      <c r="W796" s="46" t="s">
        <v>37</v>
      </c>
      <c r="X796" s="47">
        <v>44420</v>
      </c>
      <c r="Y796" s="1151"/>
      <c r="Z796" s="894"/>
      <c r="AA796" s="1155"/>
    </row>
    <row r="797" spans="1:27" ht="26.25" x14ac:dyDescent="0.25">
      <c r="A797" s="339"/>
      <c r="B797" s="338"/>
      <c r="C797" s="277"/>
      <c r="D797" s="565"/>
      <c r="E797" s="565"/>
      <c r="F797" s="277"/>
      <c r="G797" s="277"/>
      <c r="H797" s="565"/>
      <c r="I797" s="880"/>
      <c r="J797" s="191">
        <v>5628</v>
      </c>
      <c r="K797" s="359" t="s">
        <v>9634</v>
      </c>
      <c r="L797" s="95">
        <v>1608420</v>
      </c>
      <c r="M797" s="95">
        <v>5281840</v>
      </c>
      <c r="N797" s="1010" t="s">
        <v>9635</v>
      </c>
      <c r="O797" s="259" t="s">
        <v>61</v>
      </c>
      <c r="P797" s="108" t="s">
        <v>419</v>
      </c>
      <c r="Q797" s="108" t="s">
        <v>9945</v>
      </c>
      <c r="R797" s="108" t="s">
        <v>4329</v>
      </c>
      <c r="S797" s="1009" t="s">
        <v>16</v>
      </c>
      <c r="T797" s="992" t="s">
        <v>8363</v>
      </c>
      <c r="U797" s="46" t="s">
        <v>9482</v>
      </c>
      <c r="V797" s="46" t="s">
        <v>9442</v>
      </c>
      <c r="W797" s="46" t="s">
        <v>37</v>
      </c>
      <c r="X797" s="47">
        <v>44420</v>
      </c>
      <c r="Y797" s="1151"/>
      <c r="Z797" s="894"/>
      <c r="AA797" s="1155"/>
    </row>
    <row r="798" spans="1:27" ht="26.25" x14ac:dyDescent="0.25">
      <c r="A798" s="339"/>
      <c r="B798" s="338"/>
      <c r="C798" s="277"/>
      <c r="D798" s="565"/>
      <c r="E798" s="565"/>
      <c r="F798" s="277"/>
      <c r="G798" s="277"/>
      <c r="H798" s="565"/>
      <c r="I798" s="880"/>
      <c r="J798" s="191">
        <v>5629</v>
      </c>
      <c r="K798" s="359" t="s">
        <v>9636</v>
      </c>
      <c r="L798" s="95">
        <v>1608800</v>
      </c>
      <c r="M798" s="95">
        <v>5281970</v>
      </c>
      <c r="N798" s="1010" t="s">
        <v>9637</v>
      </c>
      <c r="O798" s="259" t="s">
        <v>61</v>
      </c>
      <c r="P798" s="108" t="s">
        <v>419</v>
      </c>
      <c r="Q798" s="108" t="s">
        <v>9946</v>
      </c>
      <c r="R798" s="108" t="s">
        <v>4329</v>
      </c>
      <c r="S798" s="1009" t="s">
        <v>16</v>
      </c>
      <c r="T798" s="992" t="s">
        <v>4131</v>
      </c>
      <c r="U798" s="46" t="s">
        <v>9482</v>
      </c>
      <c r="V798" s="46" t="s">
        <v>9442</v>
      </c>
      <c r="W798" s="46" t="s">
        <v>37</v>
      </c>
      <c r="X798" s="47">
        <v>44420</v>
      </c>
      <c r="Y798" s="1151"/>
      <c r="Z798" s="894"/>
      <c r="AA798" s="1155"/>
    </row>
    <row r="799" spans="1:27" ht="26.25" x14ac:dyDescent="0.25">
      <c r="A799" s="339"/>
      <c r="B799" s="338"/>
      <c r="C799" s="277"/>
      <c r="D799" s="565"/>
      <c r="E799" s="565"/>
      <c r="F799" s="277"/>
      <c r="G799" s="277"/>
      <c r="H799" s="565"/>
      <c r="I799" s="880"/>
      <c r="J799" s="191">
        <v>5634</v>
      </c>
      <c r="K799" s="359" t="s">
        <v>9638</v>
      </c>
      <c r="L799" s="95">
        <v>1608640</v>
      </c>
      <c r="M799" s="95">
        <v>5282820</v>
      </c>
      <c r="N799" s="1010" t="s">
        <v>9639</v>
      </c>
      <c r="O799" s="259" t="s">
        <v>61</v>
      </c>
      <c r="P799" s="108" t="s">
        <v>419</v>
      </c>
      <c r="Q799" s="108" t="s">
        <v>9947</v>
      </c>
      <c r="R799" s="108" t="s">
        <v>4329</v>
      </c>
      <c r="S799" s="1009" t="s">
        <v>16</v>
      </c>
      <c r="T799" s="992" t="s">
        <v>4131</v>
      </c>
      <c r="U799" s="46" t="s">
        <v>9441</v>
      </c>
      <c r="V799" s="46" t="s">
        <v>9442</v>
      </c>
      <c r="W799" s="46" t="s">
        <v>37</v>
      </c>
      <c r="X799" s="47">
        <v>44420</v>
      </c>
      <c r="Y799" s="1151"/>
      <c r="Z799" s="894"/>
      <c r="AA799" s="1155"/>
    </row>
    <row r="800" spans="1:27" ht="39" x14ac:dyDescent="0.25">
      <c r="A800" s="339"/>
      <c r="B800" s="338"/>
      <c r="C800" s="277"/>
      <c r="D800" s="565"/>
      <c r="E800" s="565"/>
      <c r="F800" s="277"/>
      <c r="G800" s="277"/>
      <c r="H800" s="565"/>
      <c r="I800" s="880"/>
      <c r="J800" s="191">
        <v>5642</v>
      </c>
      <c r="K800" s="359" t="s">
        <v>9640</v>
      </c>
      <c r="L800" s="95">
        <v>1608660</v>
      </c>
      <c r="M800" s="95">
        <v>5281920</v>
      </c>
      <c r="N800" s="108" t="s">
        <v>9641</v>
      </c>
      <c r="O800" s="259" t="s">
        <v>61</v>
      </c>
      <c r="P800" s="108" t="s">
        <v>419</v>
      </c>
      <c r="Q800" s="108" t="s">
        <v>9956</v>
      </c>
      <c r="R800" s="108" t="s">
        <v>4329</v>
      </c>
      <c r="S800" s="1009" t="s">
        <v>16</v>
      </c>
      <c r="T800" s="992" t="s">
        <v>4131</v>
      </c>
      <c r="U800" s="46" t="s">
        <v>9506</v>
      </c>
      <c r="V800" s="46" t="s">
        <v>9442</v>
      </c>
      <c r="W800" s="46" t="s">
        <v>37</v>
      </c>
      <c r="X800" s="47">
        <v>44420</v>
      </c>
      <c r="Y800" s="1151"/>
      <c r="Z800" s="894"/>
      <c r="AA800" s="1155"/>
    </row>
    <row r="801" spans="1:27" ht="26.25" x14ac:dyDescent="0.25">
      <c r="A801" s="339"/>
      <c r="B801" s="338"/>
      <c r="C801" s="277"/>
      <c r="D801" s="565"/>
      <c r="E801" s="565"/>
      <c r="F801" s="277"/>
      <c r="G801" s="277"/>
      <c r="H801" s="565"/>
      <c r="I801" s="880"/>
      <c r="J801" s="191">
        <v>5643</v>
      </c>
      <c r="K801" s="359" t="s">
        <v>9642</v>
      </c>
      <c r="L801" s="95">
        <v>1609080</v>
      </c>
      <c r="M801" s="95">
        <v>5282070</v>
      </c>
      <c r="N801" s="108" t="s">
        <v>9643</v>
      </c>
      <c r="O801" s="259" t="s">
        <v>61</v>
      </c>
      <c r="P801" s="108" t="s">
        <v>419</v>
      </c>
      <c r="Q801" s="108" t="s">
        <v>9957</v>
      </c>
      <c r="R801" s="108" t="s">
        <v>4329</v>
      </c>
      <c r="S801" s="1009" t="s">
        <v>16</v>
      </c>
      <c r="T801" s="992" t="s">
        <v>4131</v>
      </c>
      <c r="U801" s="46" t="s">
        <v>9482</v>
      </c>
      <c r="V801" s="46" t="s">
        <v>9442</v>
      </c>
      <c r="W801" s="46" t="s">
        <v>37</v>
      </c>
      <c r="X801" s="47">
        <v>44420</v>
      </c>
      <c r="Y801" s="1151"/>
      <c r="Z801" s="894"/>
      <c r="AA801" s="1155"/>
    </row>
    <row r="802" spans="1:27" ht="27" thickBot="1" x14ac:dyDescent="0.3">
      <c r="A802" s="339"/>
      <c r="B802" s="338"/>
      <c r="C802" s="277"/>
      <c r="D802" s="565"/>
      <c r="E802" s="565"/>
      <c r="F802" s="277"/>
      <c r="G802" s="277"/>
      <c r="H802" s="565"/>
      <c r="I802" s="880"/>
      <c r="J802" s="190">
        <v>5648</v>
      </c>
      <c r="K802" s="357" t="s">
        <v>9644</v>
      </c>
      <c r="L802" s="96">
        <v>1609290</v>
      </c>
      <c r="M802" s="96">
        <v>5282150</v>
      </c>
      <c r="N802" s="107" t="s">
        <v>9645</v>
      </c>
      <c r="O802" s="262" t="s">
        <v>61</v>
      </c>
      <c r="P802" s="107" t="s">
        <v>419</v>
      </c>
      <c r="Q802" s="107" t="s">
        <v>9958</v>
      </c>
      <c r="R802" s="107" t="s">
        <v>4329</v>
      </c>
      <c r="S802" s="1012" t="s">
        <v>16</v>
      </c>
      <c r="T802" s="850" t="s">
        <v>798</v>
      </c>
      <c r="U802" s="52" t="s">
        <v>9441</v>
      </c>
      <c r="V802" s="52" t="s">
        <v>9442</v>
      </c>
      <c r="W802" s="52" t="s">
        <v>37</v>
      </c>
      <c r="X802" s="53">
        <v>44420</v>
      </c>
      <c r="Y802" s="1152"/>
      <c r="Z802" s="1158"/>
      <c r="AA802" s="1156"/>
    </row>
    <row r="803" spans="1:27" ht="39" x14ac:dyDescent="0.25">
      <c r="A803" s="339"/>
      <c r="B803" s="338"/>
      <c r="C803" s="277"/>
      <c r="D803" s="565"/>
      <c r="E803" s="565"/>
      <c r="F803" s="277"/>
      <c r="G803" s="277"/>
      <c r="H803" s="565"/>
      <c r="I803" s="880"/>
      <c r="J803" s="189">
        <v>5650</v>
      </c>
      <c r="K803" s="355" t="s">
        <v>9646</v>
      </c>
      <c r="L803" s="125">
        <v>1620900</v>
      </c>
      <c r="M803" s="125">
        <v>5288970</v>
      </c>
      <c r="N803" s="558" t="s">
        <v>9647</v>
      </c>
      <c r="O803" s="255" t="s">
        <v>61</v>
      </c>
      <c r="P803" s="126" t="s">
        <v>419</v>
      </c>
      <c r="Q803" s="126" t="s">
        <v>9909</v>
      </c>
      <c r="R803" s="126" t="s">
        <v>4329</v>
      </c>
      <c r="S803" s="1008" t="s">
        <v>16</v>
      </c>
      <c r="T803" s="1006" t="s">
        <v>5708</v>
      </c>
      <c r="U803" s="40" t="s">
        <v>9506</v>
      </c>
      <c r="V803" s="40" t="s">
        <v>9442</v>
      </c>
      <c r="W803" s="40" t="s">
        <v>37</v>
      </c>
      <c r="X803" s="41">
        <v>44420</v>
      </c>
      <c r="Y803" s="1150"/>
      <c r="Z803" s="1157"/>
      <c r="AA803" s="1154"/>
    </row>
    <row r="804" spans="1:27" ht="26.25" x14ac:dyDescent="0.25">
      <c r="A804" s="339"/>
      <c r="B804" s="338"/>
      <c r="C804" s="277"/>
      <c r="D804" s="565"/>
      <c r="E804" s="565"/>
      <c r="F804" s="277"/>
      <c r="G804" s="277"/>
      <c r="H804" s="565"/>
      <c r="I804" s="880"/>
      <c r="J804" s="191">
        <v>5651</v>
      </c>
      <c r="K804" s="359" t="s">
        <v>9648</v>
      </c>
      <c r="L804" s="95">
        <v>1619970</v>
      </c>
      <c r="M804" s="95">
        <v>5287470</v>
      </c>
      <c r="N804" s="108" t="s">
        <v>9649</v>
      </c>
      <c r="O804" s="259" t="s">
        <v>61</v>
      </c>
      <c r="P804" s="108" t="s">
        <v>419</v>
      </c>
      <c r="Q804" s="108" t="s">
        <v>9959</v>
      </c>
      <c r="R804" s="108" t="s">
        <v>4329</v>
      </c>
      <c r="S804" s="1009" t="s">
        <v>16</v>
      </c>
      <c r="T804" s="992" t="s">
        <v>4131</v>
      </c>
      <c r="U804" s="46" t="s">
        <v>9441</v>
      </c>
      <c r="V804" s="46" t="s">
        <v>9442</v>
      </c>
      <c r="W804" s="46" t="s">
        <v>37</v>
      </c>
      <c r="X804" s="47">
        <v>44420</v>
      </c>
      <c r="Y804" s="1151"/>
      <c r="Z804" s="894"/>
      <c r="AA804" s="1155"/>
    </row>
    <row r="805" spans="1:27" ht="39" x14ac:dyDescent="0.25">
      <c r="A805" s="339"/>
      <c r="B805" s="338"/>
      <c r="C805" s="277"/>
      <c r="D805" s="565"/>
      <c r="E805" s="565"/>
      <c r="F805" s="277"/>
      <c r="G805" s="277"/>
      <c r="H805" s="565"/>
      <c r="I805" s="880"/>
      <c r="J805" s="191">
        <v>5656</v>
      </c>
      <c r="K805" s="359" t="s">
        <v>9621</v>
      </c>
      <c r="L805" s="95">
        <v>1620410</v>
      </c>
      <c r="M805" s="95">
        <v>5288460</v>
      </c>
      <c r="N805" s="384" t="s">
        <v>9650</v>
      </c>
      <c r="O805" s="259" t="s">
        <v>61</v>
      </c>
      <c r="P805" s="108" t="s">
        <v>419</v>
      </c>
      <c r="Q805" s="108" t="s">
        <v>9960</v>
      </c>
      <c r="R805" s="108" t="s">
        <v>4329</v>
      </c>
      <c r="S805" s="1009" t="s">
        <v>16</v>
      </c>
      <c r="T805" s="992" t="s">
        <v>8412</v>
      </c>
      <c r="U805" s="46" t="s">
        <v>9506</v>
      </c>
      <c r="V805" s="46" t="s">
        <v>9442</v>
      </c>
      <c r="W805" s="46" t="s">
        <v>37</v>
      </c>
      <c r="X805" s="47">
        <v>44420</v>
      </c>
      <c r="Y805" s="1151"/>
      <c r="Z805" s="894"/>
      <c r="AA805" s="1155"/>
    </row>
    <row r="806" spans="1:27" ht="39.75" thickBot="1" x14ac:dyDescent="0.3">
      <c r="A806" s="336"/>
      <c r="B806" s="196"/>
      <c r="C806" s="96"/>
      <c r="D806" s="566"/>
      <c r="E806" s="566"/>
      <c r="F806" s="96"/>
      <c r="G806" s="96"/>
      <c r="H806" s="566"/>
      <c r="I806" s="881"/>
      <c r="J806" s="190">
        <v>5657</v>
      </c>
      <c r="K806" s="357" t="s">
        <v>9624</v>
      </c>
      <c r="L806" s="96">
        <v>1621250</v>
      </c>
      <c r="M806" s="96">
        <v>5289360</v>
      </c>
      <c r="N806" s="559" t="s">
        <v>9651</v>
      </c>
      <c r="O806" s="262" t="s">
        <v>61</v>
      </c>
      <c r="P806" s="107" t="s">
        <v>419</v>
      </c>
      <c r="Q806" s="107" t="s">
        <v>9961</v>
      </c>
      <c r="R806" s="107" t="s">
        <v>4329</v>
      </c>
      <c r="S806" s="1012" t="s">
        <v>16</v>
      </c>
      <c r="T806" s="850" t="s">
        <v>5708</v>
      </c>
      <c r="U806" s="52" t="s">
        <v>9506</v>
      </c>
      <c r="V806" s="52" t="s">
        <v>9442</v>
      </c>
      <c r="W806" s="52" t="s">
        <v>37</v>
      </c>
      <c r="X806" s="53">
        <v>44420</v>
      </c>
      <c r="Y806" s="1152"/>
      <c r="Z806" s="1158"/>
      <c r="AA806" s="1156"/>
    </row>
    <row r="807" spans="1:27" ht="26.25" x14ac:dyDescent="0.25">
      <c r="A807" s="524" t="s">
        <v>9652</v>
      </c>
      <c r="B807" s="81" t="s">
        <v>3630</v>
      </c>
      <c r="C807" s="26">
        <v>633</v>
      </c>
      <c r="D807" s="594" t="s">
        <v>52</v>
      </c>
      <c r="E807" s="594"/>
      <c r="F807" s="26" t="s">
        <v>2104</v>
      </c>
      <c r="G807" s="26" t="s">
        <v>1263</v>
      </c>
      <c r="H807" s="594"/>
      <c r="I807" s="888"/>
      <c r="J807" s="490">
        <v>5544</v>
      </c>
      <c r="K807" s="58" t="s">
        <v>9653</v>
      </c>
      <c r="L807" s="26">
        <v>1595440</v>
      </c>
      <c r="M807" s="26">
        <v>5279860</v>
      </c>
      <c r="N807" s="1018" t="s">
        <v>9654</v>
      </c>
      <c r="O807" s="219" t="s">
        <v>61</v>
      </c>
      <c r="P807" s="491" t="s">
        <v>419</v>
      </c>
      <c r="Q807" s="491" t="s">
        <v>9962</v>
      </c>
      <c r="R807" s="491" t="s">
        <v>4329</v>
      </c>
      <c r="S807" s="1019" t="s">
        <v>16</v>
      </c>
      <c r="T807" s="1006" t="s">
        <v>4131</v>
      </c>
      <c r="U807" s="40" t="s">
        <v>9482</v>
      </c>
      <c r="V807" s="40" t="s">
        <v>9442</v>
      </c>
      <c r="W807" s="40" t="s">
        <v>37</v>
      </c>
      <c r="X807" s="41">
        <v>44420</v>
      </c>
      <c r="Y807" s="1150"/>
      <c r="Z807" s="1157"/>
      <c r="AA807" s="1154"/>
    </row>
    <row r="808" spans="1:27" ht="39" x14ac:dyDescent="0.25">
      <c r="A808" s="736"/>
      <c r="B808" s="787"/>
      <c r="C808" s="515"/>
      <c r="D808" s="784"/>
      <c r="E808" s="784"/>
      <c r="F808" s="515"/>
      <c r="G808" s="515"/>
      <c r="H808" s="784"/>
      <c r="I808" s="889"/>
      <c r="J808" s="501">
        <v>5545</v>
      </c>
      <c r="K808" s="60" t="s">
        <v>9655</v>
      </c>
      <c r="L808" s="27">
        <v>1607750</v>
      </c>
      <c r="M808" s="27">
        <v>5281620</v>
      </c>
      <c r="N808" s="1020" t="s">
        <v>9656</v>
      </c>
      <c r="O808" s="216" t="s">
        <v>61</v>
      </c>
      <c r="P808" s="502" t="s">
        <v>419</v>
      </c>
      <c r="Q808" s="502" t="s">
        <v>9963</v>
      </c>
      <c r="R808" s="502" t="s">
        <v>4329</v>
      </c>
      <c r="S808" s="1021" t="s">
        <v>16</v>
      </c>
      <c r="T808" s="992" t="s">
        <v>3606</v>
      </c>
      <c r="U808" s="46" t="s">
        <v>9506</v>
      </c>
      <c r="V808" s="46" t="s">
        <v>9442</v>
      </c>
      <c r="W808" s="46" t="s">
        <v>37</v>
      </c>
      <c r="X808" s="47">
        <v>44420</v>
      </c>
      <c r="Y808" s="1151"/>
      <c r="Z808" s="894"/>
      <c r="AA808" s="1155"/>
    </row>
    <row r="809" spans="1:27" ht="39" x14ac:dyDescent="0.25">
      <c r="A809" s="736"/>
      <c r="B809" s="787"/>
      <c r="C809" s="515"/>
      <c r="D809" s="784"/>
      <c r="E809" s="784"/>
      <c r="F809" s="515"/>
      <c r="G809" s="515"/>
      <c r="H809" s="784"/>
      <c r="I809" s="889"/>
      <c r="J809" s="501">
        <v>5546</v>
      </c>
      <c r="K809" s="60" t="s">
        <v>9657</v>
      </c>
      <c r="L809" s="27">
        <v>1604860</v>
      </c>
      <c r="M809" s="27">
        <v>5280120</v>
      </c>
      <c r="N809" s="1022" t="s">
        <v>9658</v>
      </c>
      <c r="O809" s="216" t="s">
        <v>61</v>
      </c>
      <c r="P809" s="502" t="s">
        <v>419</v>
      </c>
      <c r="Q809" s="502" t="s">
        <v>2684</v>
      </c>
      <c r="R809" s="502" t="s">
        <v>4329</v>
      </c>
      <c r="S809" s="1021" t="s">
        <v>16</v>
      </c>
      <c r="T809" s="992" t="s">
        <v>8363</v>
      </c>
      <c r="U809" s="46" t="s">
        <v>9506</v>
      </c>
      <c r="V809" s="46" t="s">
        <v>9442</v>
      </c>
      <c r="W809" s="46" t="s">
        <v>37</v>
      </c>
      <c r="X809" s="47">
        <v>44420</v>
      </c>
      <c r="Y809" s="1151"/>
      <c r="Z809" s="894"/>
      <c r="AA809" s="1155"/>
    </row>
    <row r="810" spans="1:27" ht="26.25" x14ac:dyDescent="0.25">
      <c r="A810" s="736"/>
      <c r="B810" s="787"/>
      <c r="C810" s="515"/>
      <c r="D810" s="784"/>
      <c r="E810" s="784"/>
      <c r="F810" s="515"/>
      <c r="G810" s="515"/>
      <c r="H810" s="784"/>
      <c r="I810" s="889"/>
      <c r="J810" s="501">
        <v>5547</v>
      </c>
      <c r="K810" s="60" t="s">
        <v>9659</v>
      </c>
      <c r="L810" s="27">
        <v>1593780</v>
      </c>
      <c r="M810" s="27">
        <v>5280410</v>
      </c>
      <c r="N810" s="502" t="s">
        <v>9660</v>
      </c>
      <c r="O810" s="216" t="s">
        <v>61</v>
      </c>
      <c r="P810" s="502" t="s">
        <v>419</v>
      </c>
      <c r="Q810" s="502" t="s">
        <v>9964</v>
      </c>
      <c r="R810" s="502" t="s">
        <v>4329</v>
      </c>
      <c r="S810" s="1021" t="s">
        <v>16</v>
      </c>
      <c r="T810" s="992" t="s">
        <v>4131</v>
      </c>
      <c r="U810" s="46" t="s">
        <v>9482</v>
      </c>
      <c r="V810" s="46" t="s">
        <v>9442</v>
      </c>
      <c r="W810" s="46" t="s">
        <v>37</v>
      </c>
      <c r="X810" s="47">
        <v>44420</v>
      </c>
      <c r="Y810" s="1151"/>
      <c r="Z810" s="894"/>
      <c r="AA810" s="1155"/>
    </row>
    <row r="811" spans="1:27" ht="39" x14ac:dyDescent="0.25">
      <c r="A811" s="736"/>
      <c r="B811" s="787"/>
      <c r="C811" s="515"/>
      <c r="D811" s="784"/>
      <c r="E811" s="784"/>
      <c r="F811" s="515"/>
      <c r="G811" s="515"/>
      <c r="H811" s="784"/>
      <c r="I811" s="889"/>
      <c r="J811" s="501">
        <v>5548</v>
      </c>
      <c r="K811" s="60" t="s">
        <v>9661</v>
      </c>
      <c r="L811" s="27">
        <v>1593950</v>
      </c>
      <c r="M811" s="27">
        <v>5280410</v>
      </c>
      <c r="N811" s="1022" t="s">
        <v>9662</v>
      </c>
      <c r="O811" s="216" t="s">
        <v>61</v>
      </c>
      <c r="P811" s="502" t="s">
        <v>419</v>
      </c>
      <c r="Q811" s="502" t="s">
        <v>2261</v>
      </c>
      <c r="R811" s="502" t="s">
        <v>4329</v>
      </c>
      <c r="S811" s="1021" t="s">
        <v>16</v>
      </c>
      <c r="T811" s="992" t="s">
        <v>5178</v>
      </c>
      <c r="U811" s="46" t="s">
        <v>9506</v>
      </c>
      <c r="V811" s="46" t="s">
        <v>9442</v>
      </c>
      <c r="W811" s="46" t="s">
        <v>37</v>
      </c>
      <c r="X811" s="47">
        <v>44420</v>
      </c>
      <c r="Y811" s="1151"/>
      <c r="Z811" s="894"/>
      <c r="AA811" s="1155"/>
    </row>
    <row r="812" spans="1:27" ht="26.25" x14ac:dyDescent="0.25">
      <c r="A812" s="736"/>
      <c r="B812" s="787"/>
      <c r="C812" s="515"/>
      <c r="D812" s="784"/>
      <c r="E812" s="784"/>
      <c r="F812" s="515"/>
      <c r="G812" s="515"/>
      <c r="H812" s="784"/>
      <c r="I812" s="889"/>
      <c r="J812" s="501">
        <v>5549</v>
      </c>
      <c r="K812" s="60" t="s">
        <v>9663</v>
      </c>
      <c r="L812" s="27">
        <v>1593860</v>
      </c>
      <c r="M812" s="27">
        <v>5280410</v>
      </c>
      <c r="N812" s="502" t="s">
        <v>9664</v>
      </c>
      <c r="O812" s="216" t="s">
        <v>61</v>
      </c>
      <c r="P812" s="502" t="s">
        <v>419</v>
      </c>
      <c r="Q812" s="502" t="s">
        <v>8951</v>
      </c>
      <c r="R812" s="502" t="s">
        <v>4329</v>
      </c>
      <c r="S812" s="1021" t="s">
        <v>16</v>
      </c>
      <c r="T812" s="992" t="s">
        <v>4131</v>
      </c>
      <c r="U812" s="46" t="s">
        <v>9482</v>
      </c>
      <c r="V812" s="46" t="s">
        <v>9442</v>
      </c>
      <c r="W812" s="46" t="s">
        <v>37</v>
      </c>
      <c r="X812" s="47">
        <v>44420</v>
      </c>
      <c r="Y812" s="1151"/>
      <c r="Z812" s="894"/>
      <c r="AA812" s="1155"/>
    </row>
    <row r="813" spans="1:27" ht="39" x14ac:dyDescent="0.25">
      <c r="A813" s="736"/>
      <c r="B813" s="787"/>
      <c r="C813" s="515"/>
      <c r="D813" s="784"/>
      <c r="E813" s="784"/>
      <c r="F813" s="515"/>
      <c r="G813" s="515"/>
      <c r="H813" s="784"/>
      <c r="I813" s="889"/>
      <c r="J813" s="501">
        <v>5550</v>
      </c>
      <c r="K813" s="60" t="s">
        <v>9665</v>
      </c>
      <c r="L813" s="27">
        <v>1594000</v>
      </c>
      <c r="M813" s="27">
        <v>5280420</v>
      </c>
      <c r="N813" s="1020" t="s">
        <v>9666</v>
      </c>
      <c r="O813" s="216" t="s">
        <v>61</v>
      </c>
      <c r="P813" s="502" t="s">
        <v>419</v>
      </c>
      <c r="Q813" s="502" t="s">
        <v>9994</v>
      </c>
      <c r="R813" s="502" t="s">
        <v>4329</v>
      </c>
      <c r="S813" s="1021" t="s">
        <v>16</v>
      </c>
      <c r="T813" s="992" t="s">
        <v>8412</v>
      </c>
      <c r="U813" s="46" t="s">
        <v>9506</v>
      </c>
      <c r="V813" s="46" t="s">
        <v>9442</v>
      </c>
      <c r="W813" s="46" t="s">
        <v>37</v>
      </c>
      <c r="X813" s="47">
        <v>44420</v>
      </c>
      <c r="Y813" s="1151"/>
      <c r="Z813" s="894"/>
      <c r="AA813" s="1155"/>
    </row>
    <row r="814" spans="1:27" ht="26.25" x14ac:dyDescent="0.25">
      <c r="A814" s="736"/>
      <c r="B814" s="787"/>
      <c r="C814" s="515"/>
      <c r="D814" s="784"/>
      <c r="E814" s="784"/>
      <c r="F814" s="515"/>
      <c r="G814" s="515"/>
      <c r="H814" s="784"/>
      <c r="I814" s="889"/>
      <c r="J814" s="501">
        <v>5551</v>
      </c>
      <c r="K814" s="60" t="s">
        <v>9667</v>
      </c>
      <c r="L814" s="27">
        <v>1604170</v>
      </c>
      <c r="M814" s="27">
        <v>5281440</v>
      </c>
      <c r="N814" s="1020" t="s">
        <v>9668</v>
      </c>
      <c r="O814" s="216" t="s">
        <v>61</v>
      </c>
      <c r="P814" s="502" t="s">
        <v>419</v>
      </c>
      <c r="Q814" s="502" t="s">
        <v>9947</v>
      </c>
      <c r="R814" s="502" t="s">
        <v>4329</v>
      </c>
      <c r="S814" s="1021" t="s">
        <v>16</v>
      </c>
      <c r="T814" s="992" t="s">
        <v>4131</v>
      </c>
      <c r="U814" s="46" t="s">
        <v>9482</v>
      </c>
      <c r="V814" s="46" t="s">
        <v>9442</v>
      </c>
      <c r="W814" s="46" t="s">
        <v>37</v>
      </c>
      <c r="X814" s="47">
        <v>44420</v>
      </c>
      <c r="Y814" s="1151"/>
      <c r="Z814" s="894"/>
      <c r="AA814" s="1155"/>
    </row>
    <row r="815" spans="1:27" ht="39" x14ac:dyDescent="0.25">
      <c r="A815" s="736"/>
      <c r="B815" s="787"/>
      <c r="C815" s="515"/>
      <c r="D815" s="784"/>
      <c r="E815" s="784"/>
      <c r="F815" s="515"/>
      <c r="G815" s="515"/>
      <c r="H815" s="784"/>
      <c r="I815" s="889"/>
      <c r="J815" s="501">
        <v>5552</v>
      </c>
      <c r="K815" s="60" t="s">
        <v>9669</v>
      </c>
      <c r="L815" s="27">
        <v>1603950</v>
      </c>
      <c r="M815" s="27">
        <v>5281480</v>
      </c>
      <c r="N815" s="1020" t="s">
        <v>9670</v>
      </c>
      <c r="O815" s="216" t="s">
        <v>61</v>
      </c>
      <c r="P815" s="502" t="s">
        <v>419</v>
      </c>
      <c r="Q815" s="502" t="s">
        <v>9965</v>
      </c>
      <c r="R815" s="502" t="s">
        <v>4329</v>
      </c>
      <c r="S815" s="1021" t="s">
        <v>16</v>
      </c>
      <c r="T815" s="992" t="s">
        <v>4131</v>
      </c>
      <c r="U815" s="46" t="s">
        <v>9506</v>
      </c>
      <c r="V815" s="46" t="s">
        <v>9442</v>
      </c>
      <c r="W815" s="46" t="s">
        <v>37</v>
      </c>
      <c r="X815" s="47">
        <v>44420</v>
      </c>
      <c r="Y815" s="1151"/>
      <c r="Z815" s="894"/>
      <c r="AA815" s="1155"/>
    </row>
    <row r="816" spans="1:27" ht="39" x14ac:dyDescent="0.25">
      <c r="A816" s="736"/>
      <c r="B816" s="787"/>
      <c r="C816" s="515"/>
      <c r="D816" s="784"/>
      <c r="E816" s="784"/>
      <c r="F816" s="515"/>
      <c r="G816" s="515"/>
      <c r="H816" s="784"/>
      <c r="I816" s="889"/>
      <c r="J816" s="501">
        <v>5553</v>
      </c>
      <c r="K816" s="60" t="s">
        <v>9671</v>
      </c>
      <c r="L816" s="27">
        <v>1603860</v>
      </c>
      <c r="M816" s="27">
        <v>5281480</v>
      </c>
      <c r="N816" s="1020" t="s">
        <v>9672</v>
      </c>
      <c r="O816" s="216" t="s">
        <v>61</v>
      </c>
      <c r="P816" s="502" t="s">
        <v>419</v>
      </c>
      <c r="Q816" s="502" t="s">
        <v>9965</v>
      </c>
      <c r="R816" s="502" t="s">
        <v>4329</v>
      </c>
      <c r="S816" s="1021" t="s">
        <v>16</v>
      </c>
      <c r="T816" s="992" t="s">
        <v>4131</v>
      </c>
      <c r="U816" s="46" t="s">
        <v>9506</v>
      </c>
      <c r="V816" s="46" t="s">
        <v>9442</v>
      </c>
      <c r="W816" s="46" t="s">
        <v>37</v>
      </c>
      <c r="X816" s="47">
        <v>44420</v>
      </c>
      <c r="Y816" s="1151"/>
      <c r="Z816" s="894"/>
      <c r="AA816" s="1155"/>
    </row>
    <row r="817" spans="1:27" ht="39" x14ac:dyDescent="0.25">
      <c r="A817" s="736"/>
      <c r="B817" s="787"/>
      <c r="C817" s="515"/>
      <c r="D817" s="784"/>
      <c r="E817" s="784"/>
      <c r="F817" s="515"/>
      <c r="G817" s="515"/>
      <c r="H817" s="784"/>
      <c r="I817" s="889"/>
      <c r="J817" s="501">
        <v>5554</v>
      </c>
      <c r="K817" s="60" t="s">
        <v>9673</v>
      </c>
      <c r="L817" s="27">
        <v>1603600</v>
      </c>
      <c r="M817" s="27">
        <v>5281440</v>
      </c>
      <c r="N817" s="502" t="s">
        <v>9674</v>
      </c>
      <c r="O817" s="216" t="s">
        <v>61</v>
      </c>
      <c r="P817" s="502" t="s">
        <v>419</v>
      </c>
      <c r="Q817" s="502" t="s">
        <v>9995</v>
      </c>
      <c r="R817" s="502" t="s">
        <v>4329</v>
      </c>
      <c r="S817" s="1021" t="s">
        <v>16</v>
      </c>
      <c r="T817" s="992" t="s">
        <v>4131</v>
      </c>
      <c r="U817" s="46" t="s">
        <v>9506</v>
      </c>
      <c r="V817" s="46" t="s">
        <v>9442</v>
      </c>
      <c r="W817" s="46" t="s">
        <v>37</v>
      </c>
      <c r="X817" s="47">
        <v>44420</v>
      </c>
      <c r="Y817" s="1151"/>
      <c r="Z817" s="894"/>
      <c r="AA817" s="1155"/>
    </row>
    <row r="818" spans="1:27" ht="26.25" x14ac:dyDescent="0.25">
      <c r="A818" s="736"/>
      <c r="B818" s="787"/>
      <c r="C818" s="515"/>
      <c r="D818" s="784"/>
      <c r="E818" s="784"/>
      <c r="F818" s="515"/>
      <c r="G818" s="515"/>
      <c r="H818" s="784"/>
      <c r="I818" s="889"/>
      <c r="J818" s="501">
        <v>5555</v>
      </c>
      <c r="K818" s="60" t="s">
        <v>9675</v>
      </c>
      <c r="L818" s="27">
        <v>1603080</v>
      </c>
      <c r="M818" s="27">
        <v>5281280</v>
      </c>
      <c r="N818" s="1022" t="s">
        <v>9676</v>
      </c>
      <c r="O818" s="216" t="s">
        <v>61</v>
      </c>
      <c r="P818" s="502" t="s">
        <v>419</v>
      </c>
      <c r="Q818" s="502" t="s">
        <v>9996</v>
      </c>
      <c r="R818" s="502" t="s">
        <v>4329</v>
      </c>
      <c r="S818" s="1021" t="s">
        <v>16</v>
      </c>
      <c r="T818" s="992" t="s">
        <v>8412</v>
      </c>
      <c r="U818" s="46" t="s">
        <v>9482</v>
      </c>
      <c r="V818" s="46" t="s">
        <v>9442</v>
      </c>
      <c r="W818" s="46" t="s">
        <v>37</v>
      </c>
      <c r="X818" s="47">
        <v>44420</v>
      </c>
      <c r="Y818" s="1151"/>
      <c r="Z818" s="894"/>
      <c r="AA818" s="1155"/>
    </row>
    <row r="819" spans="1:27" ht="39" x14ac:dyDescent="0.25">
      <c r="A819" s="736"/>
      <c r="B819" s="787"/>
      <c r="C819" s="515"/>
      <c r="D819" s="784"/>
      <c r="E819" s="784"/>
      <c r="F819" s="515"/>
      <c r="G819" s="515"/>
      <c r="H819" s="784"/>
      <c r="I819" s="889"/>
      <c r="J819" s="501">
        <v>5556</v>
      </c>
      <c r="K819" s="60" t="s">
        <v>9677</v>
      </c>
      <c r="L819" s="27">
        <v>1603130</v>
      </c>
      <c r="M819" s="27">
        <v>5281310</v>
      </c>
      <c r="N819" s="1020" t="s">
        <v>9678</v>
      </c>
      <c r="O819" s="216" t="s">
        <v>61</v>
      </c>
      <c r="P819" s="502" t="s">
        <v>419</v>
      </c>
      <c r="Q819" s="502" t="s">
        <v>9997</v>
      </c>
      <c r="R819" s="502" t="s">
        <v>4329</v>
      </c>
      <c r="S819" s="1021" t="s">
        <v>16</v>
      </c>
      <c r="T819" s="992" t="s">
        <v>9679</v>
      </c>
      <c r="U819" s="46" t="s">
        <v>9506</v>
      </c>
      <c r="V819" s="46" t="s">
        <v>9442</v>
      </c>
      <c r="W819" s="46" t="s">
        <v>37</v>
      </c>
      <c r="X819" s="47">
        <v>44420</v>
      </c>
      <c r="Y819" s="1151"/>
      <c r="Z819" s="894"/>
      <c r="AA819" s="1155"/>
    </row>
    <row r="820" spans="1:27" ht="39" x14ac:dyDescent="0.25">
      <c r="A820" s="736"/>
      <c r="B820" s="787"/>
      <c r="C820" s="515"/>
      <c r="D820" s="784"/>
      <c r="E820" s="784"/>
      <c r="F820" s="515"/>
      <c r="G820" s="515"/>
      <c r="H820" s="784"/>
      <c r="I820" s="889"/>
      <c r="J820" s="501">
        <v>5557</v>
      </c>
      <c r="K820" s="60" t="s">
        <v>9680</v>
      </c>
      <c r="L820" s="27">
        <v>1602640</v>
      </c>
      <c r="M820" s="27">
        <v>5281170</v>
      </c>
      <c r="N820" s="502" t="s">
        <v>9681</v>
      </c>
      <c r="O820" s="216" t="s">
        <v>61</v>
      </c>
      <c r="P820" s="502" t="s">
        <v>419</v>
      </c>
      <c r="Q820" s="502" t="s">
        <v>9966</v>
      </c>
      <c r="R820" s="502" t="s">
        <v>4329</v>
      </c>
      <c r="S820" s="1021" t="s">
        <v>16</v>
      </c>
      <c r="T820" s="992" t="s">
        <v>4131</v>
      </c>
      <c r="U820" s="46" t="s">
        <v>9506</v>
      </c>
      <c r="V820" s="46" t="s">
        <v>9442</v>
      </c>
      <c r="W820" s="46" t="s">
        <v>37</v>
      </c>
      <c r="X820" s="47">
        <v>44420</v>
      </c>
      <c r="Y820" s="1151"/>
      <c r="Z820" s="894"/>
      <c r="AA820" s="1155"/>
    </row>
    <row r="821" spans="1:27" ht="39" x14ac:dyDescent="0.25">
      <c r="A821" s="736"/>
      <c r="B821" s="787"/>
      <c r="C821" s="515"/>
      <c r="D821" s="784"/>
      <c r="E821" s="784"/>
      <c r="F821" s="515"/>
      <c r="G821" s="515"/>
      <c r="H821" s="784"/>
      <c r="I821" s="889"/>
      <c r="J821" s="501">
        <v>5558</v>
      </c>
      <c r="K821" s="60" t="s">
        <v>9682</v>
      </c>
      <c r="L821" s="27">
        <v>1602430</v>
      </c>
      <c r="M821" s="27">
        <v>5281110</v>
      </c>
      <c r="N821" s="1020" t="s">
        <v>9683</v>
      </c>
      <c r="O821" s="216" t="s">
        <v>61</v>
      </c>
      <c r="P821" s="502" t="s">
        <v>419</v>
      </c>
      <c r="Q821" s="502" t="s">
        <v>2277</v>
      </c>
      <c r="R821" s="502" t="s">
        <v>4329</v>
      </c>
      <c r="S821" s="1021" t="s">
        <v>16</v>
      </c>
      <c r="T821" s="992" t="s">
        <v>4131</v>
      </c>
      <c r="U821" s="46" t="s">
        <v>9506</v>
      </c>
      <c r="V821" s="46" t="s">
        <v>9442</v>
      </c>
      <c r="W821" s="46" t="s">
        <v>37</v>
      </c>
      <c r="X821" s="47">
        <v>44420</v>
      </c>
      <c r="Y821" s="1151"/>
      <c r="Z821" s="894"/>
      <c r="AA821" s="1155"/>
    </row>
    <row r="822" spans="1:27" ht="26.25" x14ac:dyDescent="0.25">
      <c r="A822" s="736"/>
      <c r="B822" s="787"/>
      <c r="C822" s="515"/>
      <c r="D822" s="784"/>
      <c r="E822" s="784"/>
      <c r="F822" s="515"/>
      <c r="G822" s="515"/>
      <c r="H822" s="784"/>
      <c r="I822" s="889"/>
      <c r="J822" s="501">
        <v>5559</v>
      </c>
      <c r="K822" s="60" t="s">
        <v>9684</v>
      </c>
      <c r="L822" s="27">
        <v>1601810</v>
      </c>
      <c r="M822" s="27">
        <v>5280580</v>
      </c>
      <c r="N822" s="1022" t="s">
        <v>9685</v>
      </c>
      <c r="O822" s="216" t="s">
        <v>61</v>
      </c>
      <c r="P822" s="502" t="s">
        <v>419</v>
      </c>
      <c r="Q822" s="502" t="s">
        <v>9967</v>
      </c>
      <c r="R822" s="502" t="s">
        <v>4329</v>
      </c>
      <c r="S822" s="1021" t="s">
        <v>16</v>
      </c>
      <c r="T822" s="992" t="s">
        <v>4131</v>
      </c>
      <c r="U822" s="46" t="s">
        <v>9482</v>
      </c>
      <c r="V822" s="46" t="s">
        <v>9442</v>
      </c>
      <c r="W822" s="46" t="s">
        <v>37</v>
      </c>
      <c r="X822" s="47">
        <v>44420</v>
      </c>
      <c r="Y822" s="1151"/>
      <c r="Z822" s="894"/>
      <c r="AA822" s="1155"/>
    </row>
    <row r="823" spans="1:27" ht="39" x14ac:dyDescent="0.25">
      <c r="A823" s="736"/>
      <c r="B823" s="787"/>
      <c r="C823" s="515"/>
      <c r="D823" s="784"/>
      <c r="E823" s="784"/>
      <c r="F823" s="515"/>
      <c r="G823" s="515"/>
      <c r="H823" s="784"/>
      <c r="I823" s="889"/>
      <c r="J823" s="501">
        <v>5560</v>
      </c>
      <c r="K823" s="60" t="s">
        <v>9686</v>
      </c>
      <c r="L823" s="27">
        <v>1602060</v>
      </c>
      <c r="M823" s="27">
        <v>5280630</v>
      </c>
      <c r="N823" s="502" t="s">
        <v>9687</v>
      </c>
      <c r="O823" s="216" t="s">
        <v>61</v>
      </c>
      <c r="P823" s="502" t="s">
        <v>419</v>
      </c>
      <c r="Q823" s="502" t="s">
        <v>9916</v>
      </c>
      <c r="R823" s="502" t="s">
        <v>4329</v>
      </c>
      <c r="S823" s="1021" t="s">
        <v>16</v>
      </c>
      <c r="T823" s="992" t="s">
        <v>4131</v>
      </c>
      <c r="U823" s="46" t="s">
        <v>9506</v>
      </c>
      <c r="V823" s="46" t="s">
        <v>9442</v>
      </c>
      <c r="W823" s="46" t="s">
        <v>37</v>
      </c>
      <c r="X823" s="47">
        <v>44420</v>
      </c>
      <c r="Y823" s="1151"/>
      <c r="Z823" s="894"/>
      <c r="AA823" s="1155"/>
    </row>
    <row r="824" spans="1:27" ht="26.25" x14ac:dyDescent="0.25">
      <c r="A824" s="736"/>
      <c r="B824" s="787"/>
      <c r="C824" s="515"/>
      <c r="D824" s="784"/>
      <c r="E824" s="784"/>
      <c r="F824" s="515"/>
      <c r="G824" s="515"/>
      <c r="H824" s="784"/>
      <c r="I824" s="889"/>
      <c r="J824" s="501">
        <v>5561</v>
      </c>
      <c r="K824" s="60" t="s">
        <v>9688</v>
      </c>
      <c r="L824" s="27">
        <v>1596040</v>
      </c>
      <c r="M824" s="27">
        <v>5279980</v>
      </c>
      <c r="N824" s="1020" t="s">
        <v>9689</v>
      </c>
      <c r="O824" s="216" t="s">
        <v>61</v>
      </c>
      <c r="P824" s="502" t="s">
        <v>419</v>
      </c>
      <c r="Q824" s="502" t="s">
        <v>9968</v>
      </c>
      <c r="R824" s="502" t="s">
        <v>4329</v>
      </c>
      <c r="S824" s="1021" t="s">
        <v>16</v>
      </c>
      <c r="T824" s="992" t="s">
        <v>4131</v>
      </c>
      <c r="U824" s="46" t="s">
        <v>9482</v>
      </c>
      <c r="V824" s="46" t="s">
        <v>9442</v>
      </c>
      <c r="W824" s="46" t="s">
        <v>37</v>
      </c>
      <c r="X824" s="47">
        <v>44420</v>
      </c>
      <c r="Y824" s="1151"/>
      <c r="Z824" s="894"/>
      <c r="AA824" s="1155"/>
    </row>
    <row r="825" spans="1:27" ht="26.25" x14ac:dyDescent="0.25">
      <c r="A825" s="736"/>
      <c r="B825" s="787"/>
      <c r="C825" s="515"/>
      <c r="D825" s="784"/>
      <c r="E825" s="784"/>
      <c r="F825" s="515"/>
      <c r="G825" s="515"/>
      <c r="H825" s="784"/>
      <c r="I825" s="889"/>
      <c r="J825" s="501">
        <v>5562</v>
      </c>
      <c r="K825" s="60" t="s">
        <v>9690</v>
      </c>
      <c r="L825" s="27">
        <v>1595970</v>
      </c>
      <c r="M825" s="27">
        <v>5279990</v>
      </c>
      <c r="N825" s="1020" t="s">
        <v>9691</v>
      </c>
      <c r="O825" s="216" t="s">
        <v>61</v>
      </c>
      <c r="P825" s="502" t="s">
        <v>419</v>
      </c>
      <c r="Q825" s="502" t="s">
        <v>9969</v>
      </c>
      <c r="R825" s="502" t="s">
        <v>4329</v>
      </c>
      <c r="S825" s="1021" t="s">
        <v>16</v>
      </c>
      <c r="T825" s="992" t="s">
        <v>4131</v>
      </c>
      <c r="U825" s="46" t="s">
        <v>9482</v>
      </c>
      <c r="V825" s="46" t="s">
        <v>9442</v>
      </c>
      <c r="W825" s="46" t="s">
        <v>37</v>
      </c>
      <c r="X825" s="47">
        <v>44420</v>
      </c>
      <c r="Y825" s="1151"/>
      <c r="Z825" s="894"/>
      <c r="AA825" s="1155"/>
    </row>
    <row r="826" spans="1:27" ht="39" x14ac:dyDescent="0.25">
      <c r="A826" s="736"/>
      <c r="B826" s="787"/>
      <c r="C826" s="515"/>
      <c r="D826" s="784"/>
      <c r="E826" s="784"/>
      <c r="F826" s="515"/>
      <c r="G826" s="515"/>
      <c r="H826" s="784"/>
      <c r="I826" s="889"/>
      <c r="J826" s="501">
        <v>5563</v>
      </c>
      <c r="K826" s="60" t="s">
        <v>9692</v>
      </c>
      <c r="L826" s="27">
        <v>1601200</v>
      </c>
      <c r="M826" s="27">
        <v>5280400</v>
      </c>
      <c r="N826" s="502" t="s">
        <v>9693</v>
      </c>
      <c r="O826" s="216" t="s">
        <v>61</v>
      </c>
      <c r="P826" s="502" t="s">
        <v>419</v>
      </c>
      <c r="Q826" s="502" t="s">
        <v>9912</v>
      </c>
      <c r="R826" s="502" t="s">
        <v>4329</v>
      </c>
      <c r="S826" s="1021" t="s">
        <v>16</v>
      </c>
      <c r="T826" s="992" t="s">
        <v>4131</v>
      </c>
      <c r="U826" s="46" t="s">
        <v>9506</v>
      </c>
      <c r="V826" s="46" t="s">
        <v>9442</v>
      </c>
      <c r="W826" s="46" t="s">
        <v>37</v>
      </c>
      <c r="X826" s="47">
        <v>44420</v>
      </c>
      <c r="Y826" s="1151"/>
      <c r="Z826" s="894"/>
      <c r="AA826" s="1155"/>
    </row>
    <row r="827" spans="1:27" ht="39" x14ac:dyDescent="0.25">
      <c r="A827" s="736"/>
      <c r="B827" s="787"/>
      <c r="C827" s="515"/>
      <c r="D827" s="784"/>
      <c r="E827" s="784"/>
      <c r="F827" s="515"/>
      <c r="G827" s="515"/>
      <c r="H827" s="784"/>
      <c r="I827" s="889"/>
      <c r="J827" s="501">
        <v>5564</v>
      </c>
      <c r="K827" s="60" t="s">
        <v>9694</v>
      </c>
      <c r="L827" s="27">
        <v>1606740</v>
      </c>
      <c r="M827" s="27">
        <v>5282040</v>
      </c>
      <c r="N827" s="502" t="s">
        <v>9695</v>
      </c>
      <c r="O827" s="216" t="s">
        <v>61</v>
      </c>
      <c r="P827" s="502" t="s">
        <v>419</v>
      </c>
      <c r="Q827" s="502" t="s">
        <v>5863</v>
      </c>
      <c r="R827" s="502" t="s">
        <v>4329</v>
      </c>
      <c r="S827" s="1021" t="s">
        <v>16</v>
      </c>
      <c r="T827" s="992" t="s">
        <v>8363</v>
      </c>
      <c r="U827" s="46" t="s">
        <v>9506</v>
      </c>
      <c r="V827" s="46" t="s">
        <v>9442</v>
      </c>
      <c r="W827" s="46" t="s">
        <v>37</v>
      </c>
      <c r="X827" s="47">
        <v>44420</v>
      </c>
      <c r="Y827" s="1151"/>
      <c r="Z827" s="894"/>
      <c r="AA827" s="1155"/>
    </row>
    <row r="828" spans="1:27" ht="26.25" x14ac:dyDescent="0.25">
      <c r="A828" s="736"/>
      <c r="B828" s="787"/>
      <c r="C828" s="515"/>
      <c r="D828" s="784"/>
      <c r="E828" s="784"/>
      <c r="F828" s="515"/>
      <c r="G828" s="515"/>
      <c r="H828" s="784"/>
      <c r="I828" s="889"/>
      <c r="J828" s="501">
        <v>5566</v>
      </c>
      <c r="K828" s="60" t="s">
        <v>9696</v>
      </c>
      <c r="L828" s="27">
        <v>1595330</v>
      </c>
      <c r="M828" s="27">
        <v>5279830</v>
      </c>
      <c r="N828" s="1020" t="s">
        <v>9697</v>
      </c>
      <c r="O828" s="216" t="s">
        <v>61</v>
      </c>
      <c r="P828" s="502" t="s">
        <v>419</v>
      </c>
      <c r="Q828" s="502" t="s">
        <v>9970</v>
      </c>
      <c r="R828" s="502" t="s">
        <v>4329</v>
      </c>
      <c r="S828" s="1021" t="s">
        <v>16</v>
      </c>
      <c r="T828" s="992" t="s">
        <v>4131</v>
      </c>
      <c r="U828" s="46" t="s">
        <v>9441</v>
      </c>
      <c r="V828" s="46" t="s">
        <v>9442</v>
      </c>
      <c r="W828" s="46" t="s">
        <v>37</v>
      </c>
      <c r="X828" s="47">
        <v>44420</v>
      </c>
      <c r="Y828" s="1151"/>
      <c r="Z828" s="894"/>
      <c r="AA828" s="1155"/>
    </row>
    <row r="829" spans="1:27" ht="26.25" x14ac:dyDescent="0.25">
      <c r="A829" s="736"/>
      <c r="B829" s="787"/>
      <c r="C829" s="515"/>
      <c r="D829" s="784"/>
      <c r="E829" s="784"/>
      <c r="F829" s="515"/>
      <c r="G829" s="515"/>
      <c r="H829" s="784"/>
      <c r="I829" s="889"/>
      <c r="J829" s="501">
        <v>5567</v>
      </c>
      <c r="K829" s="60" t="s">
        <v>9698</v>
      </c>
      <c r="L829" s="27">
        <v>1599290</v>
      </c>
      <c r="M829" s="27">
        <v>5279940</v>
      </c>
      <c r="N829" s="1020" t="s">
        <v>9699</v>
      </c>
      <c r="O829" s="216" t="s">
        <v>61</v>
      </c>
      <c r="P829" s="502" t="s">
        <v>419</v>
      </c>
      <c r="Q829" s="502" t="s">
        <v>9971</v>
      </c>
      <c r="R829" s="502" t="s">
        <v>4329</v>
      </c>
      <c r="S829" s="1021" t="s">
        <v>16</v>
      </c>
      <c r="T829" s="992" t="s">
        <v>8363</v>
      </c>
      <c r="U829" s="46" t="s">
        <v>9482</v>
      </c>
      <c r="V829" s="46" t="s">
        <v>9442</v>
      </c>
      <c r="W829" s="46" t="s">
        <v>37</v>
      </c>
      <c r="X829" s="47">
        <v>44420</v>
      </c>
      <c r="Y829" s="1151"/>
      <c r="Z829" s="894"/>
      <c r="AA829" s="1155"/>
    </row>
    <row r="830" spans="1:27" ht="26.25" x14ac:dyDescent="0.25">
      <c r="A830" s="736"/>
      <c r="B830" s="787"/>
      <c r="C830" s="515"/>
      <c r="D830" s="784"/>
      <c r="E830" s="784"/>
      <c r="F830" s="515"/>
      <c r="G830" s="515"/>
      <c r="H830" s="784"/>
      <c r="I830" s="889"/>
      <c r="J830" s="501">
        <v>5568</v>
      </c>
      <c r="K830" s="60" t="s">
        <v>9700</v>
      </c>
      <c r="L830" s="27">
        <v>1601240</v>
      </c>
      <c r="M830" s="27">
        <v>5280410</v>
      </c>
      <c r="N830" s="1020" t="s">
        <v>9701</v>
      </c>
      <c r="O830" s="216" t="s">
        <v>61</v>
      </c>
      <c r="P830" s="502" t="s">
        <v>419</v>
      </c>
      <c r="Q830" s="502" t="s">
        <v>2686</v>
      </c>
      <c r="R830" s="502" t="s">
        <v>4329</v>
      </c>
      <c r="S830" s="1021" t="s">
        <v>16</v>
      </c>
      <c r="T830" s="992" t="s">
        <v>8412</v>
      </c>
      <c r="U830" s="46" t="s">
        <v>9482</v>
      </c>
      <c r="V830" s="46" t="s">
        <v>9442</v>
      </c>
      <c r="W830" s="46" t="s">
        <v>37</v>
      </c>
      <c r="X830" s="47">
        <v>44420</v>
      </c>
      <c r="Y830" s="1151"/>
      <c r="Z830" s="894"/>
      <c r="AA830" s="1155"/>
    </row>
    <row r="831" spans="1:27" ht="26.25" x14ac:dyDescent="0.25">
      <c r="A831" s="736"/>
      <c r="B831" s="787"/>
      <c r="C831" s="515"/>
      <c r="D831" s="784"/>
      <c r="E831" s="784"/>
      <c r="F831" s="515"/>
      <c r="G831" s="515"/>
      <c r="H831" s="784"/>
      <c r="I831" s="889"/>
      <c r="J831" s="501">
        <v>5569</v>
      </c>
      <c r="K831" s="60" t="s">
        <v>9702</v>
      </c>
      <c r="L831" s="27">
        <v>1601240</v>
      </c>
      <c r="M831" s="27">
        <v>5280410</v>
      </c>
      <c r="N831" s="502" t="s">
        <v>9703</v>
      </c>
      <c r="O831" s="216" t="s">
        <v>61</v>
      </c>
      <c r="P831" s="502" t="s">
        <v>419</v>
      </c>
      <c r="Q831" s="502" t="s">
        <v>9972</v>
      </c>
      <c r="R831" s="502" t="s">
        <v>4329</v>
      </c>
      <c r="S831" s="1021" t="s">
        <v>16</v>
      </c>
      <c r="T831" s="992" t="s">
        <v>8412</v>
      </c>
      <c r="U831" s="46" t="s">
        <v>9482</v>
      </c>
      <c r="V831" s="46" t="s">
        <v>9442</v>
      </c>
      <c r="W831" s="46" t="s">
        <v>37</v>
      </c>
      <c r="X831" s="47">
        <v>44420</v>
      </c>
      <c r="Y831" s="1151"/>
      <c r="Z831" s="894"/>
      <c r="AA831" s="1155"/>
    </row>
    <row r="832" spans="1:27" ht="26.25" x14ac:dyDescent="0.25">
      <c r="A832" s="736"/>
      <c r="B832" s="787"/>
      <c r="C832" s="515"/>
      <c r="D832" s="784"/>
      <c r="E832" s="784"/>
      <c r="F832" s="515"/>
      <c r="G832" s="515"/>
      <c r="H832" s="784"/>
      <c r="I832" s="889"/>
      <c r="J832" s="501">
        <v>5570</v>
      </c>
      <c r="K832" s="60" t="s">
        <v>9704</v>
      </c>
      <c r="L832" s="27">
        <v>1601230</v>
      </c>
      <c r="M832" s="27">
        <v>5280400</v>
      </c>
      <c r="N832" s="1022" t="s">
        <v>9705</v>
      </c>
      <c r="O832" s="216" t="s">
        <v>61</v>
      </c>
      <c r="P832" s="502" t="s">
        <v>419</v>
      </c>
      <c r="Q832" s="502" t="s">
        <v>2261</v>
      </c>
      <c r="R832" s="502" t="s">
        <v>4329</v>
      </c>
      <c r="S832" s="1021" t="s">
        <v>16</v>
      </c>
      <c r="T832" s="992" t="s">
        <v>8412</v>
      </c>
      <c r="U832" s="46" t="s">
        <v>9482</v>
      </c>
      <c r="V832" s="46" t="s">
        <v>9442</v>
      </c>
      <c r="W832" s="46" t="s">
        <v>37</v>
      </c>
      <c r="X832" s="47">
        <v>44420</v>
      </c>
      <c r="Y832" s="1151"/>
      <c r="Z832" s="894"/>
      <c r="AA832" s="1155"/>
    </row>
    <row r="833" spans="1:27" ht="26.25" x14ac:dyDescent="0.25">
      <c r="A833" s="736"/>
      <c r="B833" s="787"/>
      <c r="C833" s="515"/>
      <c r="D833" s="784"/>
      <c r="E833" s="784"/>
      <c r="F833" s="515"/>
      <c r="G833" s="515"/>
      <c r="H833" s="784"/>
      <c r="I833" s="889"/>
      <c r="J833" s="501">
        <v>5571</v>
      </c>
      <c r="K833" s="60" t="s">
        <v>9706</v>
      </c>
      <c r="L833" s="27">
        <v>1601220</v>
      </c>
      <c r="M833" s="27">
        <v>5280400</v>
      </c>
      <c r="N833" s="1022" t="s">
        <v>9707</v>
      </c>
      <c r="O833" s="216" t="s">
        <v>61</v>
      </c>
      <c r="P833" s="502" t="s">
        <v>419</v>
      </c>
      <c r="Q833" s="502" t="s">
        <v>2277</v>
      </c>
      <c r="R833" s="502" t="s">
        <v>4329</v>
      </c>
      <c r="S833" s="1021" t="s">
        <v>16</v>
      </c>
      <c r="T833" s="992" t="s">
        <v>8412</v>
      </c>
      <c r="U833" s="46" t="s">
        <v>9482</v>
      </c>
      <c r="V833" s="46" t="s">
        <v>9442</v>
      </c>
      <c r="W833" s="46" t="s">
        <v>37</v>
      </c>
      <c r="X833" s="47">
        <v>44420</v>
      </c>
      <c r="Y833" s="1151"/>
      <c r="Z833" s="894"/>
      <c r="AA833" s="1155"/>
    </row>
    <row r="834" spans="1:27" ht="26.25" x14ac:dyDescent="0.25">
      <c r="A834" s="736"/>
      <c r="B834" s="787"/>
      <c r="C834" s="515"/>
      <c r="D834" s="784"/>
      <c r="E834" s="784"/>
      <c r="F834" s="515"/>
      <c r="G834" s="515"/>
      <c r="H834" s="784"/>
      <c r="I834" s="889"/>
      <c r="J834" s="501">
        <v>5572</v>
      </c>
      <c r="K834" s="60" t="s">
        <v>9708</v>
      </c>
      <c r="L834" s="27">
        <v>1601210</v>
      </c>
      <c r="M834" s="27">
        <v>5280400</v>
      </c>
      <c r="N834" s="1020" t="s">
        <v>9709</v>
      </c>
      <c r="O834" s="216" t="s">
        <v>61</v>
      </c>
      <c r="P834" s="502" t="s">
        <v>419</v>
      </c>
      <c r="Q834" s="502" t="s">
        <v>9940</v>
      </c>
      <c r="R834" s="502" t="s">
        <v>4329</v>
      </c>
      <c r="S834" s="1021" t="s">
        <v>16</v>
      </c>
      <c r="T834" s="992" t="s">
        <v>8412</v>
      </c>
      <c r="U834" s="46" t="s">
        <v>9482</v>
      </c>
      <c r="V834" s="46" t="s">
        <v>9442</v>
      </c>
      <c r="W834" s="46" t="s">
        <v>37</v>
      </c>
      <c r="X834" s="47">
        <v>44420</v>
      </c>
      <c r="Y834" s="1151"/>
      <c r="Z834" s="894"/>
      <c r="AA834" s="1155"/>
    </row>
    <row r="835" spans="1:27" ht="26.25" x14ac:dyDescent="0.25">
      <c r="A835" s="736"/>
      <c r="B835" s="787"/>
      <c r="C835" s="515"/>
      <c r="D835" s="784"/>
      <c r="E835" s="784"/>
      <c r="F835" s="515"/>
      <c r="G835" s="515"/>
      <c r="H835" s="784"/>
      <c r="I835" s="889"/>
      <c r="J835" s="501">
        <v>5573</v>
      </c>
      <c r="K835" s="60" t="s">
        <v>9710</v>
      </c>
      <c r="L835" s="27">
        <v>1601210</v>
      </c>
      <c r="M835" s="27">
        <v>5280410</v>
      </c>
      <c r="N835" s="1020" t="s">
        <v>9603</v>
      </c>
      <c r="O835" s="216" t="s">
        <v>61</v>
      </c>
      <c r="P835" s="502" t="s">
        <v>419</v>
      </c>
      <c r="Q835" s="502" t="s">
        <v>9940</v>
      </c>
      <c r="R835" s="502" t="s">
        <v>4329</v>
      </c>
      <c r="S835" s="1021" t="s">
        <v>16</v>
      </c>
      <c r="T835" s="992" t="s">
        <v>8412</v>
      </c>
      <c r="U835" s="46" t="s">
        <v>9482</v>
      </c>
      <c r="V835" s="46" t="s">
        <v>9442</v>
      </c>
      <c r="W835" s="46" t="s">
        <v>37</v>
      </c>
      <c r="X835" s="47">
        <v>44420</v>
      </c>
      <c r="Y835" s="1151"/>
      <c r="Z835" s="894"/>
      <c r="AA835" s="1155"/>
    </row>
    <row r="836" spans="1:27" ht="26.25" x14ac:dyDescent="0.25">
      <c r="A836" s="736"/>
      <c r="B836" s="787"/>
      <c r="C836" s="515"/>
      <c r="D836" s="784"/>
      <c r="E836" s="784"/>
      <c r="F836" s="515"/>
      <c r="G836" s="515"/>
      <c r="H836" s="784"/>
      <c r="I836" s="889"/>
      <c r="J836" s="501">
        <v>5574</v>
      </c>
      <c r="K836" s="60" t="s">
        <v>9711</v>
      </c>
      <c r="L836" s="27">
        <v>1601280</v>
      </c>
      <c r="M836" s="27">
        <v>5280420</v>
      </c>
      <c r="N836" s="502" t="s">
        <v>9712</v>
      </c>
      <c r="O836" s="216" t="s">
        <v>61</v>
      </c>
      <c r="P836" s="502" t="s">
        <v>419</v>
      </c>
      <c r="Q836" s="502" t="s">
        <v>9973</v>
      </c>
      <c r="R836" s="502" t="s">
        <v>4329</v>
      </c>
      <c r="S836" s="1021" t="s">
        <v>16</v>
      </c>
      <c r="T836" s="992" t="s">
        <v>4131</v>
      </c>
      <c r="U836" s="46" t="s">
        <v>9482</v>
      </c>
      <c r="V836" s="46" t="s">
        <v>9442</v>
      </c>
      <c r="W836" s="46" t="s">
        <v>37</v>
      </c>
      <c r="X836" s="47">
        <v>44420</v>
      </c>
      <c r="Y836" s="1151"/>
      <c r="Z836" s="894"/>
      <c r="AA836" s="1155"/>
    </row>
    <row r="837" spans="1:27" ht="26.25" x14ac:dyDescent="0.25">
      <c r="A837" s="736"/>
      <c r="B837" s="787"/>
      <c r="C837" s="515"/>
      <c r="D837" s="784"/>
      <c r="E837" s="784"/>
      <c r="F837" s="515"/>
      <c r="G837" s="515"/>
      <c r="H837" s="784"/>
      <c r="I837" s="889"/>
      <c r="J837" s="501">
        <v>5575</v>
      </c>
      <c r="K837" s="60" t="s">
        <v>9713</v>
      </c>
      <c r="L837" s="27">
        <v>1601400</v>
      </c>
      <c r="M837" s="27">
        <v>5280460</v>
      </c>
      <c r="N837" s="1020" t="s">
        <v>9714</v>
      </c>
      <c r="O837" s="216" t="s">
        <v>61</v>
      </c>
      <c r="P837" s="502" t="s">
        <v>419</v>
      </c>
      <c r="Q837" s="502" t="s">
        <v>9929</v>
      </c>
      <c r="R837" s="502" t="s">
        <v>4329</v>
      </c>
      <c r="S837" s="1021" t="s">
        <v>16</v>
      </c>
      <c r="T837" s="992" t="s">
        <v>9715</v>
      </c>
      <c r="U837" s="46" t="s">
        <v>9482</v>
      </c>
      <c r="V837" s="46" t="s">
        <v>9442</v>
      </c>
      <c r="W837" s="46" t="s">
        <v>37</v>
      </c>
      <c r="X837" s="47">
        <v>44420</v>
      </c>
      <c r="Y837" s="1151"/>
      <c r="Z837" s="894"/>
      <c r="AA837" s="1155"/>
    </row>
    <row r="838" spans="1:27" ht="26.25" x14ac:dyDescent="0.25">
      <c r="A838" s="736"/>
      <c r="B838" s="787"/>
      <c r="C838" s="515"/>
      <c r="D838" s="784"/>
      <c r="E838" s="784"/>
      <c r="F838" s="515"/>
      <c r="G838" s="515"/>
      <c r="H838" s="784"/>
      <c r="I838" s="889"/>
      <c r="J838" s="501">
        <v>5576</v>
      </c>
      <c r="K838" s="60" t="s">
        <v>9716</v>
      </c>
      <c r="L838" s="27">
        <v>1606810</v>
      </c>
      <c r="M838" s="27">
        <v>5280970</v>
      </c>
      <c r="N838" s="502" t="s">
        <v>9717</v>
      </c>
      <c r="O838" s="216" t="s">
        <v>61</v>
      </c>
      <c r="P838" s="502" t="s">
        <v>419</v>
      </c>
      <c r="Q838" s="502" t="s">
        <v>9974</v>
      </c>
      <c r="R838" s="502" t="s">
        <v>4329</v>
      </c>
      <c r="S838" s="1021" t="s">
        <v>16</v>
      </c>
      <c r="T838" s="992" t="s">
        <v>798</v>
      </c>
      <c r="U838" s="46" t="s">
        <v>9441</v>
      </c>
      <c r="V838" s="46" t="s">
        <v>9442</v>
      </c>
      <c r="W838" s="46" t="s">
        <v>37</v>
      </c>
      <c r="X838" s="47">
        <v>44420</v>
      </c>
      <c r="Y838" s="1151"/>
      <c r="Z838" s="894"/>
      <c r="AA838" s="1155"/>
    </row>
    <row r="839" spans="1:27" ht="26.25" x14ac:dyDescent="0.25">
      <c r="A839" s="736"/>
      <c r="B839" s="787"/>
      <c r="C839" s="515"/>
      <c r="D839" s="784"/>
      <c r="E839" s="784"/>
      <c r="F839" s="515"/>
      <c r="G839" s="515"/>
      <c r="H839" s="784"/>
      <c r="I839" s="889"/>
      <c r="J839" s="501">
        <v>5581</v>
      </c>
      <c r="K839" s="60" t="s">
        <v>9718</v>
      </c>
      <c r="L839" s="27">
        <v>1607110</v>
      </c>
      <c r="M839" s="27">
        <v>5281050</v>
      </c>
      <c r="N839" s="502" t="s">
        <v>9719</v>
      </c>
      <c r="O839" s="216" t="s">
        <v>61</v>
      </c>
      <c r="P839" s="502" t="s">
        <v>419</v>
      </c>
      <c r="Q839" s="502" t="s">
        <v>9929</v>
      </c>
      <c r="R839" s="502" t="s">
        <v>4329</v>
      </c>
      <c r="S839" s="1021" t="s">
        <v>16</v>
      </c>
      <c r="T839" s="992" t="s">
        <v>4131</v>
      </c>
      <c r="U839" s="46" t="s">
        <v>9455</v>
      </c>
      <c r="V839" s="46" t="s">
        <v>9442</v>
      </c>
      <c r="W839" s="46" t="s">
        <v>37</v>
      </c>
      <c r="X839" s="47">
        <v>44420</v>
      </c>
      <c r="Y839" s="1151"/>
      <c r="Z839" s="894"/>
      <c r="AA839" s="1155"/>
    </row>
    <row r="840" spans="1:27" ht="26.25" x14ac:dyDescent="0.25">
      <c r="A840" s="736"/>
      <c r="B840" s="787"/>
      <c r="C840" s="515"/>
      <c r="D840" s="784"/>
      <c r="E840" s="784"/>
      <c r="F840" s="515"/>
      <c r="G840" s="515"/>
      <c r="H840" s="784"/>
      <c r="I840" s="889"/>
      <c r="J840" s="501">
        <v>5582</v>
      </c>
      <c r="K840" s="60" t="s">
        <v>9720</v>
      </c>
      <c r="L840" s="27">
        <v>1606930</v>
      </c>
      <c r="M840" s="27">
        <v>5280980</v>
      </c>
      <c r="N840" s="502" t="s">
        <v>9721</v>
      </c>
      <c r="O840" s="216" t="s">
        <v>61</v>
      </c>
      <c r="P840" s="502" t="s">
        <v>419</v>
      </c>
      <c r="Q840" s="502" t="s">
        <v>9947</v>
      </c>
      <c r="R840" s="502" t="s">
        <v>4329</v>
      </c>
      <c r="S840" s="1021" t="s">
        <v>16</v>
      </c>
      <c r="T840" s="992" t="s">
        <v>4131</v>
      </c>
      <c r="U840" s="46" t="s">
        <v>9441</v>
      </c>
      <c r="V840" s="46" t="s">
        <v>9442</v>
      </c>
      <c r="W840" s="46" t="s">
        <v>37</v>
      </c>
      <c r="X840" s="47">
        <v>44420</v>
      </c>
      <c r="Y840" s="1151"/>
      <c r="Z840" s="894"/>
      <c r="AA840" s="1155"/>
    </row>
    <row r="841" spans="1:27" ht="39" x14ac:dyDescent="0.25">
      <c r="A841" s="736"/>
      <c r="B841" s="787"/>
      <c r="C841" s="515"/>
      <c r="D841" s="784"/>
      <c r="E841" s="784"/>
      <c r="F841" s="515"/>
      <c r="G841" s="515"/>
      <c r="H841" s="784"/>
      <c r="I841" s="889"/>
      <c r="J841" s="501">
        <v>5583</v>
      </c>
      <c r="K841" s="60" t="s">
        <v>9722</v>
      </c>
      <c r="L841" s="27">
        <v>1599780</v>
      </c>
      <c r="M841" s="27">
        <v>5280030</v>
      </c>
      <c r="N841" s="1022" t="s">
        <v>9723</v>
      </c>
      <c r="O841" s="216" t="s">
        <v>61</v>
      </c>
      <c r="P841" s="502" t="s">
        <v>419</v>
      </c>
      <c r="Q841" s="502" t="s">
        <v>9975</v>
      </c>
      <c r="R841" s="502" t="s">
        <v>4329</v>
      </c>
      <c r="S841" s="1021" t="s">
        <v>16</v>
      </c>
      <c r="T841" s="992" t="s">
        <v>8363</v>
      </c>
      <c r="U841" s="46" t="s">
        <v>9506</v>
      </c>
      <c r="V841" s="46" t="s">
        <v>9442</v>
      </c>
      <c r="W841" s="46" t="s">
        <v>37</v>
      </c>
      <c r="X841" s="47">
        <v>44420</v>
      </c>
      <c r="Y841" s="1151"/>
      <c r="Z841" s="894"/>
      <c r="AA841" s="1155"/>
    </row>
    <row r="842" spans="1:27" ht="39" x14ac:dyDescent="0.25">
      <c r="A842" s="736"/>
      <c r="B842" s="787"/>
      <c r="C842" s="515"/>
      <c r="D842" s="784"/>
      <c r="E842" s="784"/>
      <c r="F842" s="515"/>
      <c r="G842" s="515"/>
      <c r="H842" s="784"/>
      <c r="I842" s="889"/>
      <c r="J842" s="501">
        <v>5584</v>
      </c>
      <c r="K842" s="60" t="s">
        <v>9724</v>
      </c>
      <c r="L842" s="27">
        <v>1606680</v>
      </c>
      <c r="M842" s="27">
        <v>5280950</v>
      </c>
      <c r="N842" s="1020" t="s">
        <v>9725</v>
      </c>
      <c r="O842" s="216" t="s">
        <v>61</v>
      </c>
      <c r="P842" s="502" t="s">
        <v>419</v>
      </c>
      <c r="Q842" s="502" t="s">
        <v>9930</v>
      </c>
      <c r="R842" s="502" t="s">
        <v>4329</v>
      </c>
      <c r="S842" s="1021" t="s">
        <v>16</v>
      </c>
      <c r="T842" s="992" t="s">
        <v>9679</v>
      </c>
      <c r="U842" s="46" t="s">
        <v>9506</v>
      </c>
      <c r="V842" s="46" t="s">
        <v>9442</v>
      </c>
      <c r="W842" s="46" t="s">
        <v>37</v>
      </c>
      <c r="X842" s="47">
        <v>44420</v>
      </c>
      <c r="Y842" s="1151"/>
      <c r="Z842" s="894"/>
      <c r="AA842" s="1155"/>
    </row>
    <row r="843" spans="1:27" ht="26.25" x14ac:dyDescent="0.25">
      <c r="A843" s="736"/>
      <c r="B843" s="787"/>
      <c r="C843" s="515"/>
      <c r="D843" s="784"/>
      <c r="E843" s="784"/>
      <c r="F843" s="515"/>
      <c r="G843" s="515"/>
      <c r="H843" s="784"/>
      <c r="I843" s="889"/>
      <c r="J843" s="501">
        <v>5585</v>
      </c>
      <c r="K843" s="60" t="s">
        <v>9726</v>
      </c>
      <c r="L843" s="27">
        <v>1605920</v>
      </c>
      <c r="M843" s="27">
        <v>5280950</v>
      </c>
      <c r="N843" s="1020" t="s">
        <v>9727</v>
      </c>
      <c r="O843" s="216" t="s">
        <v>61</v>
      </c>
      <c r="P843" s="502" t="s">
        <v>419</v>
      </c>
      <c r="Q843" s="502" t="s">
        <v>9941</v>
      </c>
      <c r="R843" s="502" t="s">
        <v>4329</v>
      </c>
      <c r="S843" s="1021" t="s">
        <v>16</v>
      </c>
      <c r="T843" s="992" t="s">
        <v>4131</v>
      </c>
      <c r="U843" s="46" t="s">
        <v>9482</v>
      </c>
      <c r="V843" s="46" t="s">
        <v>9442</v>
      </c>
      <c r="W843" s="46" t="s">
        <v>37</v>
      </c>
      <c r="X843" s="47">
        <v>44420</v>
      </c>
      <c r="Y843" s="1151"/>
      <c r="Z843" s="894"/>
      <c r="AA843" s="1155"/>
    </row>
    <row r="844" spans="1:27" ht="26.25" x14ac:dyDescent="0.25">
      <c r="A844" s="736"/>
      <c r="B844" s="787"/>
      <c r="C844" s="515"/>
      <c r="D844" s="784"/>
      <c r="E844" s="784"/>
      <c r="F844" s="515"/>
      <c r="G844" s="515"/>
      <c r="H844" s="784"/>
      <c r="I844" s="889"/>
      <c r="J844" s="501">
        <v>5587</v>
      </c>
      <c r="K844" s="60" t="s">
        <v>9728</v>
      </c>
      <c r="L844" s="27">
        <v>1597510</v>
      </c>
      <c r="M844" s="27">
        <v>5280080</v>
      </c>
      <c r="N844" s="502" t="s">
        <v>9607</v>
      </c>
      <c r="O844" s="216" t="s">
        <v>61</v>
      </c>
      <c r="P844" s="502" t="s">
        <v>419</v>
      </c>
      <c r="Q844" s="502" t="s">
        <v>677</v>
      </c>
      <c r="R844" s="502" t="s">
        <v>4329</v>
      </c>
      <c r="S844" s="1021" t="s">
        <v>16</v>
      </c>
      <c r="T844" s="992" t="s">
        <v>4131</v>
      </c>
      <c r="U844" s="46" t="s">
        <v>9441</v>
      </c>
      <c r="V844" s="46" t="s">
        <v>9442</v>
      </c>
      <c r="W844" s="46" t="s">
        <v>37</v>
      </c>
      <c r="X844" s="47">
        <v>44420</v>
      </c>
      <c r="Y844" s="1151"/>
      <c r="Z844" s="894"/>
      <c r="AA844" s="1155"/>
    </row>
    <row r="845" spans="1:27" ht="26.25" x14ac:dyDescent="0.25">
      <c r="A845" s="736"/>
      <c r="B845" s="787"/>
      <c r="C845" s="515"/>
      <c r="D845" s="784"/>
      <c r="E845" s="784"/>
      <c r="F845" s="515"/>
      <c r="G845" s="515"/>
      <c r="H845" s="784"/>
      <c r="I845" s="889"/>
      <c r="J845" s="501">
        <v>5604</v>
      </c>
      <c r="K845" s="60" t="s">
        <v>9729</v>
      </c>
      <c r="L845" s="27">
        <v>1600420</v>
      </c>
      <c r="M845" s="27">
        <v>5280180</v>
      </c>
      <c r="N845" s="502" t="s">
        <v>9730</v>
      </c>
      <c r="O845" s="216" t="s">
        <v>61</v>
      </c>
      <c r="P845" s="502" t="s">
        <v>419</v>
      </c>
      <c r="Q845" s="502" t="s">
        <v>9976</v>
      </c>
      <c r="R845" s="502" t="s">
        <v>4329</v>
      </c>
      <c r="S845" s="1021" t="s">
        <v>16</v>
      </c>
      <c r="T845" s="992" t="s">
        <v>8175</v>
      </c>
      <c r="U845" s="46" t="s">
        <v>9482</v>
      </c>
      <c r="V845" s="46" t="s">
        <v>9442</v>
      </c>
      <c r="W845" s="46" t="s">
        <v>37</v>
      </c>
      <c r="X845" s="47">
        <v>44420</v>
      </c>
      <c r="Y845" s="1151"/>
      <c r="Z845" s="894"/>
      <c r="AA845" s="1155"/>
    </row>
    <row r="846" spans="1:27" ht="26.25" x14ac:dyDescent="0.25">
      <c r="A846" s="736"/>
      <c r="B846" s="787"/>
      <c r="C846" s="515"/>
      <c r="D846" s="784"/>
      <c r="E846" s="784"/>
      <c r="F846" s="515"/>
      <c r="G846" s="515"/>
      <c r="H846" s="784"/>
      <c r="I846" s="889"/>
      <c r="J846" s="501">
        <v>5605</v>
      </c>
      <c r="K846" s="60" t="s">
        <v>9731</v>
      </c>
      <c r="L846" s="27">
        <v>1601660</v>
      </c>
      <c r="M846" s="27">
        <v>5280590</v>
      </c>
      <c r="N846" s="1020" t="s">
        <v>9732</v>
      </c>
      <c r="O846" s="216" t="s">
        <v>61</v>
      </c>
      <c r="P846" s="502" t="s">
        <v>419</v>
      </c>
      <c r="Q846" s="502" t="s">
        <v>9977</v>
      </c>
      <c r="R846" s="502" t="s">
        <v>4329</v>
      </c>
      <c r="S846" s="1021" t="s">
        <v>16</v>
      </c>
      <c r="T846" s="992" t="s">
        <v>798</v>
      </c>
      <c r="U846" s="46" t="s">
        <v>9482</v>
      </c>
      <c r="V846" s="46" t="s">
        <v>9442</v>
      </c>
      <c r="W846" s="46" t="s">
        <v>37</v>
      </c>
      <c r="X846" s="47">
        <v>44420</v>
      </c>
      <c r="Y846" s="1151"/>
      <c r="Z846" s="894"/>
      <c r="AA846" s="1155"/>
    </row>
    <row r="847" spans="1:27" ht="26.25" x14ac:dyDescent="0.25">
      <c r="A847" s="736"/>
      <c r="B847" s="787"/>
      <c r="C847" s="515"/>
      <c r="D847" s="784"/>
      <c r="E847" s="784"/>
      <c r="F847" s="515"/>
      <c r="G847" s="515"/>
      <c r="H847" s="784"/>
      <c r="I847" s="889"/>
      <c r="J847" s="501">
        <v>5607</v>
      </c>
      <c r="K847" s="60" t="s">
        <v>9733</v>
      </c>
      <c r="L847" s="27">
        <v>1604690</v>
      </c>
      <c r="M847" s="27">
        <v>5280790</v>
      </c>
      <c r="N847" s="502" t="s">
        <v>9734</v>
      </c>
      <c r="O847" s="216" t="s">
        <v>61</v>
      </c>
      <c r="P847" s="502" t="s">
        <v>419</v>
      </c>
      <c r="Q847" s="502" t="s">
        <v>9970</v>
      </c>
      <c r="R847" s="502" t="s">
        <v>4329</v>
      </c>
      <c r="S847" s="1021" t="s">
        <v>16</v>
      </c>
      <c r="T847" s="992" t="s">
        <v>4131</v>
      </c>
      <c r="U847" s="46" t="s">
        <v>9482</v>
      </c>
      <c r="V847" s="46" t="s">
        <v>9442</v>
      </c>
      <c r="W847" s="46" t="s">
        <v>37</v>
      </c>
      <c r="X847" s="47">
        <v>44420</v>
      </c>
      <c r="Y847" s="1151"/>
      <c r="Z847" s="894"/>
      <c r="AA847" s="1155"/>
    </row>
    <row r="848" spans="1:27" ht="39" x14ac:dyDescent="0.25">
      <c r="A848" s="736"/>
      <c r="B848" s="787"/>
      <c r="C848" s="515"/>
      <c r="D848" s="784"/>
      <c r="E848" s="784"/>
      <c r="F848" s="515"/>
      <c r="G848" s="515"/>
      <c r="H848" s="784"/>
      <c r="I848" s="889"/>
      <c r="J848" s="501">
        <v>5608</v>
      </c>
      <c r="K848" s="60" t="s">
        <v>9735</v>
      </c>
      <c r="L848" s="27">
        <v>1604470</v>
      </c>
      <c r="M848" s="27">
        <v>5281530</v>
      </c>
      <c r="N848" s="502" t="s">
        <v>9736</v>
      </c>
      <c r="O848" s="216" t="s">
        <v>61</v>
      </c>
      <c r="P848" s="502" t="s">
        <v>419</v>
      </c>
      <c r="Q848" s="502" t="s">
        <v>9953</v>
      </c>
      <c r="R848" s="502" t="s">
        <v>4329</v>
      </c>
      <c r="S848" s="1021" t="s">
        <v>16</v>
      </c>
      <c r="T848" s="992" t="s">
        <v>4131</v>
      </c>
      <c r="U848" s="46" t="s">
        <v>9506</v>
      </c>
      <c r="V848" s="46" t="s">
        <v>9442</v>
      </c>
      <c r="W848" s="46" t="s">
        <v>37</v>
      </c>
      <c r="X848" s="47">
        <v>44420</v>
      </c>
      <c r="Y848" s="1151"/>
      <c r="Z848" s="894"/>
      <c r="AA848" s="1155"/>
    </row>
    <row r="849" spans="1:27" ht="39" x14ac:dyDescent="0.25">
      <c r="A849" s="736"/>
      <c r="B849" s="787"/>
      <c r="C849" s="515"/>
      <c r="D849" s="784"/>
      <c r="E849" s="784"/>
      <c r="F849" s="515"/>
      <c r="G849" s="515"/>
      <c r="H849" s="784"/>
      <c r="I849" s="889"/>
      <c r="J849" s="501">
        <v>5609</v>
      </c>
      <c r="K849" s="60" t="s">
        <v>9737</v>
      </c>
      <c r="L849" s="27">
        <v>1604420</v>
      </c>
      <c r="M849" s="27">
        <v>5281500</v>
      </c>
      <c r="N849" s="1020" t="s">
        <v>9620</v>
      </c>
      <c r="O849" s="216" t="s">
        <v>61</v>
      </c>
      <c r="P849" s="502" t="s">
        <v>419</v>
      </c>
      <c r="Q849" s="502" t="s">
        <v>9953</v>
      </c>
      <c r="R849" s="502" t="s">
        <v>4329</v>
      </c>
      <c r="S849" s="1021" t="s">
        <v>16</v>
      </c>
      <c r="T849" s="992" t="s">
        <v>4131</v>
      </c>
      <c r="U849" s="46" t="s">
        <v>9506</v>
      </c>
      <c r="V849" s="46" t="s">
        <v>9442</v>
      </c>
      <c r="W849" s="46" t="s">
        <v>37</v>
      </c>
      <c r="X849" s="47">
        <v>44420</v>
      </c>
      <c r="Y849" s="1151"/>
      <c r="Z849" s="894"/>
      <c r="AA849" s="1155"/>
    </row>
    <row r="850" spans="1:27" ht="26.25" x14ac:dyDescent="0.25">
      <c r="A850" s="736"/>
      <c r="B850" s="787"/>
      <c r="C850" s="515"/>
      <c r="D850" s="784"/>
      <c r="E850" s="784"/>
      <c r="F850" s="515"/>
      <c r="G850" s="515"/>
      <c r="H850" s="784"/>
      <c r="I850" s="889"/>
      <c r="J850" s="501">
        <v>5610</v>
      </c>
      <c r="K850" s="60" t="s">
        <v>9738</v>
      </c>
      <c r="L850" s="27">
        <v>1598600</v>
      </c>
      <c r="M850" s="27">
        <v>5279810</v>
      </c>
      <c r="N850" s="1022" t="s">
        <v>9739</v>
      </c>
      <c r="O850" s="216" t="s">
        <v>61</v>
      </c>
      <c r="P850" s="502" t="s">
        <v>419</v>
      </c>
      <c r="Q850" s="502" t="s">
        <v>9978</v>
      </c>
      <c r="R850" s="502" t="s">
        <v>4329</v>
      </c>
      <c r="S850" s="1021" t="s">
        <v>16</v>
      </c>
      <c r="T850" s="992" t="s">
        <v>4131</v>
      </c>
      <c r="U850" s="46" t="s">
        <v>9482</v>
      </c>
      <c r="V850" s="46" t="s">
        <v>9442</v>
      </c>
      <c r="W850" s="46" t="s">
        <v>37</v>
      </c>
      <c r="X850" s="47">
        <v>44420</v>
      </c>
      <c r="Y850" s="1151"/>
      <c r="Z850" s="894"/>
      <c r="AA850" s="1155"/>
    </row>
    <row r="851" spans="1:27" ht="39" x14ac:dyDescent="0.25">
      <c r="A851" s="736"/>
      <c r="B851" s="787"/>
      <c r="C851" s="515"/>
      <c r="D851" s="784"/>
      <c r="E851" s="784"/>
      <c r="F851" s="515"/>
      <c r="G851" s="515"/>
      <c r="H851" s="784"/>
      <c r="I851" s="889"/>
      <c r="J851" s="501">
        <v>5611</v>
      </c>
      <c r="K851" s="60" t="s">
        <v>9740</v>
      </c>
      <c r="L851" s="27">
        <v>1597570</v>
      </c>
      <c r="M851" s="27">
        <v>5279780</v>
      </c>
      <c r="N851" s="1020" t="s">
        <v>9741</v>
      </c>
      <c r="O851" s="216" t="s">
        <v>61</v>
      </c>
      <c r="P851" s="502" t="s">
        <v>419</v>
      </c>
      <c r="Q851" s="502" t="s">
        <v>9974</v>
      </c>
      <c r="R851" s="502" t="s">
        <v>4329</v>
      </c>
      <c r="S851" s="1021" t="s">
        <v>16</v>
      </c>
      <c r="T851" s="992" t="s">
        <v>4131</v>
      </c>
      <c r="U851" s="46" t="s">
        <v>9506</v>
      </c>
      <c r="V851" s="46" t="s">
        <v>9442</v>
      </c>
      <c r="W851" s="46" t="s">
        <v>37</v>
      </c>
      <c r="X851" s="47">
        <v>44420</v>
      </c>
      <c r="Y851" s="1151"/>
      <c r="Z851" s="894"/>
      <c r="AA851" s="1155"/>
    </row>
    <row r="852" spans="1:27" ht="26.25" x14ac:dyDescent="0.25">
      <c r="A852" s="736"/>
      <c r="B852" s="787"/>
      <c r="C852" s="515"/>
      <c r="D852" s="784"/>
      <c r="E852" s="784"/>
      <c r="F852" s="515"/>
      <c r="G852" s="515"/>
      <c r="H852" s="784"/>
      <c r="I852" s="889"/>
      <c r="J852" s="501">
        <v>5612</v>
      </c>
      <c r="K852" s="60" t="s">
        <v>9742</v>
      </c>
      <c r="L852" s="27">
        <v>1597830</v>
      </c>
      <c r="M852" s="27">
        <v>5279770</v>
      </c>
      <c r="N852" s="1020" t="s">
        <v>9743</v>
      </c>
      <c r="O852" s="216" t="s">
        <v>61</v>
      </c>
      <c r="P852" s="502" t="s">
        <v>419</v>
      </c>
      <c r="Q852" s="502" t="s">
        <v>9979</v>
      </c>
      <c r="R852" s="502" t="s">
        <v>4329</v>
      </c>
      <c r="S852" s="1021" t="s">
        <v>16</v>
      </c>
      <c r="T852" s="992" t="s">
        <v>4131</v>
      </c>
      <c r="U852" s="46" t="s">
        <v>9441</v>
      </c>
      <c r="V852" s="46" t="s">
        <v>9442</v>
      </c>
      <c r="W852" s="46" t="s">
        <v>37</v>
      </c>
      <c r="X852" s="47">
        <v>44420</v>
      </c>
      <c r="Y852" s="1151"/>
      <c r="Z852" s="894"/>
      <c r="AA852" s="1155"/>
    </row>
    <row r="853" spans="1:27" ht="26.25" x14ac:dyDescent="0.25">
      <c r="A853" s="736"/>
      <c r="B853" s="787"/>
      <c r="C853" s="515"/>
      <c r="D853" s="784"/>
      <c r="E853" s="784"/>
      <c r="F853" s="515"/>
      <c r="G853" s="515"/>
      <c r="H853" s="784"/>
      <c r="I853" s="889"/>
      <c r="J853" s="501">
        <v>5613</v>
      </c>
      <c r="K853" s="60" t="s">
        <v>9744</v>
      </c>
      <c r="L853" s="27">
        <v>1596310</v>
      </c>
      <c r="M853" s="27">
        <v>5280000</v>
      </c>
      <c r="N853" s="1020" t="s">
        <v>9745</v>
      </c>
      <c r="O853" s="216" t="s">
        <v>61</v>
      </c>
      <c r="P853" s="502" t="s">
        <v>419</v>
      </c>
      <c r="Q853" s="502" t="s">
        <v>9980</v>
      </c>
      <c r="R853" s="502" t="s">
        <v>4329</v>
      </c>
      <c r="S853" s="1021" t="s">
        <v>16</v>
      </c>
      <c r="T853" s="992" t="s">
        <v>4131</v>
      </c>
      <c r="U853" s="46" t="s">
        <v>9482</v>
      </c>
      <c r="V853" s="46" t="s">
        <v>9442</v>
      </c>
      <c r="W853" s="46" t="s">
        <v>37</v>
      </c>
      <c r="X853" s="47">
        <v>44420</v>
      </c>
      <c r="Y853" s="1151"/>
      <c r="Z853" s="894"/>
      <c r="AA853" s="1155"/>
    </row>
    <row r="854" spans="1:27" ht="26.25" x14ac:dyDescent="0.25">
      <c r="A854" s="736"/>
      <c r="B854" s="787"/>
      <c r="C854" s="515"/>
      <c r="D854" s="784"/>
      <c r="E854" s="784"/>
      <c r="F854" s="515"/>
      <c r="G854" s="515"/>
      <c r="H854" s="784"/>
      <c r="I854" s="889"/>
      <c r="J854" s="501">
        <v>5614</v>
      </c>
      <c r="K854" s="60" t="s">
        <v>9746</v>
      </c>
      <c r="L854" s="27">
        <v>1596610</v>
      </c>
      <c r="M854" s="27">
        <v>5279990</v>
      </c>
      <c r="N854" s="1020" t="s">
        <v>9747</v>
      </c>
      <c r="O854" s="216" t="s">
        <v>61</v>
      </c>
      <c r="P854" s="502" t="s">
        <v>419</v>
      </c>
      <c r="Q854" s="502" t="s">
        <v>9911</v>
      </c>
      <c r="R854" s="502" t="s">
        <v>4329</v>
      </c>
      <c r="S854" s="1021" t="s">
        <v>16</v>
      </c>
      <c r="T854" s="992" t="s">
        <v>8412</v>
      </c>
      <c r="U854" s="46" t="s">
        <v>9441</v>
      </c>
      <c r="V854" s="46" t="s">
        <v>9442</v>
      </c>
      <c r="W854" s="46" t="s">
        <v>37</v>
      </c>
      <c r="X854" s="47">
        <v>44420</v>
      </c>
      <c r="Y854" s="1151"/>
      <c r="Z854" s="894"/>
      <c r="AA854" s="1155"/>
    </row>
    <row r="855" spans="1:27" ht="26.25" x14ac:dyDescent="0.25">
      <c r="A855" s="736"/>
      <c r="B855" s="787"/>
      <c r="C855" s="515"/>
      <c r="D855" s="784"/>
      <c r="E855" s="784"/>
      <c r="F855" s="515"/>
      <c r="G855" s="515"/>
      <c r="H855" s="784"/>
      <c r="I855" s="889"/>
      <c r="J855" s="501">
        <v>5615</v>
      </c>
      <c r="K855" s="60" t="s">
        <v>9748</v>
      </c>
      <c r="L855" s="27">
        <v>1603460</v>
      </c>
      <c r="M855" s="27">
        <v>5281440</v>
      </c>
      <c r="N855" s="1020" t="s">
        <v>9749</v>
      </c>
      <c r="O855" s="216" t="s">
        <v>61</v>
      </c>
      <c r="P855" s="502" t="s">
        <v>419</v>
      </c>
      <c r="Q855" s="502" t="s">
        <v>9981</v>
      </c>
      <c r="R855" s="502" t="s">
        <v>4329</v>
      </c>
      <c r="S855" s="1021" t="s">
        <v>16</v>
      </c>
      <c r="T855" s="992" t="s">
        <v>4131</v>
      </c>
      <c r="U855" s="46" t="s">
        <v>9441</v>
      </c>
      <c r="V855" s="46" t="s">
        <v>9442</v>
      </c>
      <c r="W855" s="46" t="s">
        <v>37</v>
      </c>
      <c r="X855" s="47">
        <v>44420</v>
      </c>
      <c r="Y855" s="1151"/>
      <c r="Z855" s="894"/>
      <c r="AA855" s="1155"/>
    </row>
    <row r="856" spans="1:27" ht="26.25" x14ac:dyDescent="0.25">
      <c r="A856" s="736"/>
      <c r="B856" s="787"/>
      <c r="C856" s="515"/>
      <c r="D856" s="784"/>
      <c r="E856" s="784"/>
      <c r="F856" s="515"/>
      <c r="G856" s="515"/>
      <c r="H856" s="784"/>
      <c r="I856" s="889"/>
      <c r="J856" s="501">
        <v>5617</v>
      </c>
      <c r="K856" s="60" t="s">
        <v>9750</v>
      </c>
      <c r="L856" s="27">
        <v>1595840</v>
      </c>
      <c r="M856" s="27">
        <v>5279950</v>
      </c>
      <c r="N856" s="1022" t="s">
        <v>9751</v>
      </c>
      <c r="O856" s="216" t="s">
        <v>61</v>
      </c>
      <c r="P856" s="502" t="s">
        <v>419</v>
      </c>
      <c r="Q856" s="502" t="s">
        <v>9982</v>
      </c>
      <c r="R856" s="502" t="s">
        <v>4329</v>
      </c>
      <c r="S856" s="1021" t="s">
        <v>16</v>
      </c>
      <c r="T856" s="992" t="s">
        <v>4131</v>
      </c>
      <c r="U856" s="46" t="s">
        <v>9482</v>
      </c>
      <c r="V856" s="46" t="s">
        <v>9442</v>
      </c>
      <c r="W856" s="46" t="s">
        <v>37</v>
      </c>
      <c r="X856" s="47">
        <v>44420</v>
      </c>
      <c r="Y856" s="1151"/>
      <c r="Z856" s="894"/>
      <c r="AA856" s="1155"/>
    </row>
    <row r="857" spans="1:27" ht="26.25" x14ac:dyDescent="0.25">
      <c r="A857" s="736"/>
      <c r="B857" s="787"/>
      <c r="C857" s="515"/>
      <c r="D857" s="784"/>
      <c r="E857" s="784"/>
      <c r="F857" s="515"/>
      <c r="G857" s="515"/>
      <c r="H857" s="784"/>
      <c r="I857" s="889"/>
      <c r="J857" s="501">
        <v>5618</v>
      </c>
      <c r="K857" s="60" t="s">
        <v>9752</v>
      </c>
      <c r="L857" s="27">
        <v>1600290</v>
      </c>
      <c r="M857" s="27">
        <v>5280140</v>
      </c>
      <c r="N857" s="502" t="s">
        <v>9693</v>
      </c>
      <c r="O857" s="216" t="s">
        <v>61</v>
      </c>
      <c r="P857" s="502" t="s">
        <v>419</v>
      </c>
      <c r="Q857" s="502" t="s">
        <v>9912</v>
      </c>
      <c r="R857" s="502" t="s">
        <v>4329</v>
      </c>
      <c r="S857" s="1021" t="s">
        <v>16</v>
      </c>
      <c r="T857" s="992" t="s">
        <v>8363</v>
      </c>
      <c r="U857" s="46" t="s">
        <v>9441</v>
      </c>
      <c r="V857" s="46" t="s">
        <v>9442</v>
      </c>
      <c r="W857" s="46" t="s">
        <v>37</v>
      </c>
      <c r="X857" s="47">
        <v>44420</v>
      </c>
      <c r="Y857" s="1151"/>
      <c r="Z857" s="894"/>
      <c r="AA857" s="1155"/>
    </row>
    <row r="858" spans="1:27" ht="26.25" x14ac:dyDescent="0.25">
      <c r="A858" s="736"/>
      <c r="B858" s="787"/>
      <c r="C858" s="515"/>
      <c r="D858" s="784"/>
      <c r="E858" s="784"/>
      <c r="F858" s="515"/>
      <c r="G858" s="515"/>
      <c r="H858" s="784"/>
      <c r="I858" s="889"/>
      <c r="J858" s="501">
        <v>5619</v>
      </c>
      <c r="K858" s="60" t="s">
        <v>9753</v>
      </c>
      <c r="L858" s="27">
        <v>1595080</v>
      </c>
      <c r="M858" s="27">
        <v>5279740</v>
      </c>
      <c r="N858" s="1020" t="s">
        <v>9754</v>
      </c>
      <c r="O858" s="216" t="s">
        <v>61</v>
      </c>
      <c r="P858" s="502" t="s">
        <v>419</v>
      </c>
      <c r="Q858" s="502" t="s">
        <v>9983</v>
      </c>
      <c r="R858" s="502" t="s">
        <v>4329</v>
      </c>
      <c r="S858" s="1021" t="s">
        <v>16</v>
      </c>
      <c r="T858" s="992" t="s">
        <v>4131</v>
      </c>
      <c r="U858" s="46" t="s">
        <v>9482</v>
      </c>
      <c r="V858" s="46" t="s">
        <v>9442</v>
      </c>
      <c r="W858" s="46" t="s">
        <v>37</v>
      </c>
      <c r="X858" s="47">
        <v>44420</v>
      </c>
      <c r="Y858" s="1151"/>
      <c r="Z858" s="894"/>
      <c r="AA858" s="1155"/>
    </row>
    <row r="859" spans="1:27" ht="26.25" x14ac:dyDescent="0.25">
      <c r="A859" s="736"/>
      <c r="B859" s="787"/>
      <c r="C859" s="515"/>
      <c r="D859" s="784"/>
      <c r="E859" s="784"/>
      <c r="F859" s="515"/>
      <c r="G859" s="515"/>
      <c r="H859" s="784"/>
      <c r="I859" s="889"/>
      <c r="J859" s="501">
        <v>5620</v>
      </c>
      <c r="K859" s="60" t="s">
        <v>9755</v>
      </c>
      <c r="L859" s="27">
        <v>1596460</v>
      </c>
      <c r="M859" s="27">
        <v>5280000</v>
      </c>
      <c r="N859" s="502" t="s">
        <v>9756</v>
      </c>
      <c r="O859" s="216" t="s">
        <v>61</v>
      </c>
      <c r="P859" s="502" t="s">
        <v>419</v>
      </c>
      <c r="Q859" s="502" t="s">
        <v>9984</v>
      </c>
      <c r="R859" s="502" t="s">
        <v>4329</v>
      </c>
      <c r="S859" s="1021" t="s">
        <v>16</v>
      </c>
      <c r="T859" s="992" t="s">
        <v>4131</v>
      </c>
      <c r="U859" s="46" t="s">
        <v>9482</v>
      </c>
      <c r="V859" s="46" t="s">
        <v>9442</v>
      </c>
      <c r="W859" s="46" t="s">
        <v>37</v>
      </c>
      <c r="X859" s="47">
        <v>44420</v>
      </c>
      <c r="Y859" s="1151"/>
      <c r="Z859" s="894"/>
      <c r="AA859" s="1155"/>
    </row>
    <row r="860" spans="1:27" ht="26.25" x14ac:dyDescent="0.25">
      <c r="A860" s="736"/>
      <c r="B860" s="787"/>
      <c r="C860" s="515"/>
      <c r="D860" s="784"/>
      <c r="E860" s="784"/>
      <c r="F860" s="515"/>
      <c r="G860" s="515"/>
      <c r="H860" s="784"/>
      <c r="I860" s="889"/>
      <c r="J860" s="501">
        <v>5621</v>
      </c>
      <c r="K860" s="60" t="s">
        <v>9757</v>
      </c>
      <c r="L860" s="27">
        <v>1596590</v>
      </c>
      <c r="M860" s="27">
        <v>5279990</v>
      </c>
      <c r="N860" s="1020" t="s">
        <v>9758</v>
      </c>
      <c r="O860" s="216" t="s">
        <v>61</v>
      </c>
      <c r="P860" s="502" t="s">
        <v>419</v>
      </c>
      <c r="Q860" s="502" t="s">
        <v>9985</v>
      </c>
      <c r="R860" s="502" t="s">
        <v>4329</v>
      </c>
      <c r="S860" s="1021" t="s">
        <v>16</v>
      </c>
      <c r="T860" s="992" t="s">
        <v>4131</v>
      </c>
      <c r="U860" s="46" t="s">
        <v>9482</v>
      </c>
      <c r="V860" s="46" t="s">
        <v>9442</v>
      </c>
      <c r="W860" s="46" t="s">
        <v>37</v>
      </c>
      <c r="X860" s="47">
        <v>44420</v>
      </c>
      <c r="Y860" s="1151"/>
      <c r="Z860" s="894"/>
      <c r="AA860" s="1155"/>
    </row>
    <row r="861" spans="1:27" ht="39" x14ac:dyDescent="0.25">
      <c r="A861" s="736"/>
      <c r="B861" s="787"/>
      <c r="C861" s="515"/>
      <c r="D861" s="784"/>
      <c r="E861" s="784"/>
      <c r="F861" s="515"/>
      <c r="G861" s="515"/>
      <c r="H861" s="784"/>
      <c r="I861" s="889"/>
      <c r="J861" s="501">
        <v>5622</v>
      </c>
      <c r="K861" s="60" t="s">
        <v>9759</v>
      </c>
      <c r="L861" s="27">
        <v>1597730</v>
      </c>
      <c r="M861" s="27">
        <v>5279800</v>
      </c>
      <c r="N861" s="1020" t="s">
        <v>9760</v>
      </c>
      <c r="O861" s="216" t="s">
        <v>61</v>
      </c>
      <c r="P861" s="502" t="s">
        <v>419</v>
      </c>
      <c r="Q861" s="502" t="s">
        <v>9986</v>
      </c>
      <c r="R861" s="502" t="s">
        <v>4329</v>
      </c>
      <c r="S861" s="1021" t="s">
        <v>16</v>
      </c>
      <c r="T861" s="992" t="s">
        <v>4131</v>
      </c>
      <c r="U861" s="46" t="s">
        <v>9506</v>
      </c>
      <c r="V861" s="46" t="s">
        <v>9442</v>
      </c>
      <c r="W861" s="46" t="s">
        <v>37</v>
      </c>
      <c r="X861" s="47">
        <v>44420</v>
      </c>
      <c r="Y861" s="1151"/>
      <c r="Z861" s="894"/>
      <c r="AA861" s="1155"/>
    </row>
    <row r="862" spans="1:27" ht="26.25" x14ac:dyDescent="0.25">
      <c r="A862" s="736"/>
      <c r="B862" s="787"/>
      <c r="C862" s="515"/>
      <c r="D862" s="784"/>
      <c r="E862" s="784"/>
      <c r="F862" s="515"/>
      <c r="G862" s="515"/>
      <c r="H862" s="784"/>
      <c r="I862" s="889"/>
      <c r="J862" s="501">
        <v>5623</v>
      </c>
      <c r="K862" s="60" t="s">
        <v>9761</v>
      </c>
      <c r="L862" s="27">
        <v>1600380</v>
      </c>
      <c r="M862" s="27">
        <v>5280160</v>
      </c>
      <c r="N862" s="1020" t="s">
        <v>9762</v>
      </c>
      <c r="O862" s="216" t="s">
        <v>61</v>
      </c>
      <c r="P862" s="502" t="s">
        <v>419</v>
      </c>
      <c r="Q862" s="502" t="s">
        <v>9987</v>
      </c>
      <c r="R862" s="502" t="s">
        <v>4329</v>
      </c>
      <c r="S862" s="1021" t="s">
        <v>16</v>
      </c>
      <c r="T862" s="992" t="s">
        <v>8175</v>
      </c>
      <c r="U862" s="46" t="s">
        <v>9482</v>
      </c>
      <c r="V862" s="46" t="s">
        <v>9442</v>
      </c>
      <c r="W862" s="46" t="s">
        <v>37</v>
      </c>
      <c r="X862" s="47">
        <v>44420</v>
      </c>
      <c r="Y862" s="1151"/>
      <c r="Z862" s="894"/>
      <c r="AA862" s="1155"/>
    </row>
    <row r="863" spans="1:27" ht="26.25" x14ac:dyDescent="0.25">
      <c r="A863" s="736"/>
      <c r="B863" s="787"/>
      <c r="C863" s="515"/>
      <c r="D863" s="784"/>
      <c r="E863" s="784"/>
      <c r="F863" s="515"/>
      <c r="G863" s="515"/>
      <c r="H863" s="784"/>
      <c r="I863" s="889"/>
      <c r="J863" s="501">
        <v>5624</v>
      </c>
      <c r="K863" s="60" t="s">
        <v>9763</v>
      </c>
      <c r="L863" s="27">
        <v>1600440</v>
      </c>
      <c r="M863" s="27">
        <v>5280180</v>
      </c>
      <c r="N863" s="1020" t="s">
        <v>9764</v>
      </c>
      <c r="O863" s="216" t="s">
        <v>61</v>
      </c>
      <c r="P863" s="502" t="s">
        <v>419</v>
      </c>
      <c r="Q863" s="502" t="s">
        <v>9988</v>
      </c>
      <c r="R863" s="502" t="s">
        <v>4329</v>
      </c>
      <c r="S863" s="1021" t="s">
        <v>16</v>
      </c>
      <c r="T863" s="992" t="s">
        <v>8412</v>
      </c>
      <c r="U863" s="46" t="s">
        <v>9482</v>
      </c>
      <c r="V863" s="46" t="s">
        <v>9442</v>
      </c>
      <c r="W863" s="46" t="s">
        <v>37</v>
      </c>
      <c r="X863" s="47">
        <v>44420</v>
      </c>
      <c r="Y863" s="1151"/>
      <c r="Z863" s="894"/>
      <c r="AA863" s="1155"/>
    </row>
    <row r="864" spans="1:27" ht="26.25" x14ac:dyDescent="0.25">
      <c r="A864" s="736"/>
      <c r="B864" s="787"/>
      <c r="C864" s="515"/>
      <c r="D864" s="784"/>
      <c r="E864" s="784"/>
      <c r="F864" s="515"/>
      <c r="G864" s="515"/>
      <c r="H864" s="784"/>
      <c r="I864" s="889"/>
      <c r="J864" s="501">
        <v>5625</v>
      </c>
      <c r="K864" s="60" t="s">
        <v>9765</v>
      </c>
      <c r="L864" s="27">
        <v>1601420</v>
      </c>
      <c r="M864" s="27">
        <v>5280480</v>
      </c>
      <c r="N864" s="1020" t="s">
        <v>9766</v>
      </c>
      <c r="O864" s="216" t="s">
        <v>61</v>
      </c>
      <c r="P864" s="502" t="s">
        <v>419</v>
      </c>
      <c r="Q864" s="502" t="s">
        <v>9811</v>
      </c>
      <c r="R864" s="502" t="s">
        <v>4329</v>
      </c>
      <c r="S864" s="1021" t="s">
        <v>16</v>
      </c>
      <c r="T864" s="992" t="s">
        <v>4131</v>
      </c>
      <c r="U864" s="46" t="s">
        <v>9482</v>
      </c>
      <c r="V864" s="46" t="s">
        <v>9442</v>
      </c>
      <c r="W864" s="46" t="s">
        <v>37</v>
      </c>
      <c r="X864" s="47">
        <v>44420</v>
      </c>
      <c r="Y864" s="1151"/>
      <c r="Z864" s="894"/>
      <c r="AA864" s="1155"/>
    </row>
    <row r="865" spans="1:27" ht="26.25" x14ac:dyDescent="0.25">
      <c r="A865" s="736"/>
      <c r="B865" s="787"/>
      <c r="C865" s="515"/>
      <c r="D865" s="784"/>
      <c r="E865" s="784"/>
      <c r="F865" s="515"/>
      <c r="G865" s="515"/>
      <c r="H865" s="784"/>
      <c r="I865" s="889"/>
      <c r="J865" s="501">
        <v>5626</v>
      </c>
      <c r="K865" s="60" t="s">
        <v>9767</v>
      </c>
      <c r="L865" s="27">
        <v>1601540</v>
      </c>
      <c r="M865" s="27">
        <v>5280540</v>
      </c>
      <c r="N865" s="1020" t="s">
        <v>9768</v>
      </c>
      <c r="O865" s="216" t="s">
        <v>61</v>
      </c>
      <c r="P865" s="502" t="s">
        <v>419</v>
      </c>
      <c r="Q865" s="502" t="s">
        <v>9054</v>
      </c>
      <c r="R865" s="502" t="s">
        <v>4329</v>
      </c>
      <c r="S865" s="1021" t="s">
        <v>16</v>
      </c>
      <c r="T865" s="992" t="s">
        <v>8412</v>
      </c>
      <c r="U865" s="46" t="s">
        <v>9482</v>
      </c>
      <c r="V865" s="46" t="s">
        <v>9442</v>
      </c>
      <c r="W865" s="46" t="s">
        <v>37</v>
      </c>
      <c r="X865" s="47">
        <v>44420</v>
      </c>
      <c r="Y865" s="1151"/>
      <c r="Z865" s="894"/>
      <c r="AA865" s="1155"/>
    </row>
    <row r="866" spans="1:27" ht="26.25" x14ac:dyDescent="0.25">
      <c r="A866" s="736"/>
      <c r="B866" s="787"/>
      <c r="C866" s="515"/>
      <c r="D866" s="784"/>
      <c r="E866" s="784"/>
      <c r="F866" s="515"/>
      <c r="G866" s="515"/>
      <c r="H866" s="784"/>
      <c r="I866" s="889"/>
      <c r="J866" s="501">
        <v>5627</v>
      </c>
      <c r="K866" s="60" t="s">
        <v>9769</v>
      </c>
      <c r="L866" s="27">
        <v>1596980</v>
      </c>
      <c r="M866" s="27">
        <v>5280290</v>
      </c>
      <c r="N866" s="1022" t="s">
        <v>9770</v>
      </c>
      <c r="O866" s="216" t="s">
        <v>61</v>
      </c>
      <c r="P866" s="502" t="s">
        <v>419</v>
      </c>
      <c r="Q866" s="502" t="s">
        <v>677</v>
      </c>
      <c r="R866" s="502" t="s">
        <v>4329</v>
      </c>
      <c r="S866" s="1021" t="s">
        <v>16</v>
      </c>
      <c r="T866" s="992" t="s">
        <v>4131</v>
      </c>
      <c r="U866" s="46" t="s">
        <v>9441</v>
      </c>
      <c r="V866" s="46" t="s">
        <v>9442</v>
      </c>
      <c r="W866" s="46" t="s">
        <v>37</v>
      </c>
      <c r="X866" s="47">
        <v>44420</v>
      </c>
      <c r="Y866" s="1151"/>
      <c r="Z866" s="894"/>
      <c r="AA866" s="1155"/>
    </row>
    <row r="867" spans="1:27" ht="39" x14ac:dyDescent="0.25">
      <c r="A867" s="736"/>
      <c r="B867" s="787"/>
      <c r="C867" s="515"/>
      <c r="D867" s="784"/>
      <c r="E867" s="784"/>
      <c r="F867" s="515"/>
      <c r="G867" s="515"/>
      <c r="H867" s="784"/>
      <c r="I867" s="889"/>
      <c r="J867" s="501">
        <v>5630</v>
      </c>
      <c r="K867" s="60" t="s">
        <v>9771</v>
      </c>
      <c r="L867" s="27">
        <v>1602350</v>
      </c>
      <c r="M867" s="27">
        <v>5281080</v>
      </c>
      <c r="N867" s="1020" t="s">
        <v>9772</v>
      </c>
      <c r="O867" s="216" t="s">
        <v>61</v>
      </c>
      <c r="P867" s="502" t="s">
        <v>419</v>
      </c>
      <c r="Q867" s="502" t="s">
        <v>677</v>
      </c>
      <c r="R867" s="502" t="s">
        <v>4329</v>
      </c>
      <c r="S867" s="1021" t="s">
        <v>16</v>
      </c>
      <c r="T867" s="992" t="s">
        <v>8412</v>
      </c>
      <c r="U867" s="46" t="s">
        <v>9506</v>
      </c>
      <c r="V867" s="46" t="s">
        <v>9442</v>
      </c>
      <c r="W867" s="46" t="s">
        <v>37</v>
      </c>
      <c r="X867" s="47">
        <v>44420</v>
      </c>
      <c r="Y867" s="1151"/>
      <c r="Z867" s="894"/>
      <c r="AA867" s="1155"/>
    </row>
    <row r="868" spans="1:27" ht="39" x14ac:dyDescent="0.25">
      <c r="A868" s="736"/>
      <c r="B868" s="787"/>
      <c r="C868" s="515"/>
      <c r="D868" s="784"/>
      <c r="E868" s="784"/>
      <c r="F868" s="515"/>
      <c r="G868" s="515"/>
      <c r="H868" s="784"/>
      <c r="I868" s="889"/>
      <c r="J868" s="501">
        <v>5631</v>
      </c>
      <c r="K868" s="60" t="s">
        <v>9773</v>
      </c>
      <c r="L868" s="27">
        <v>1602380</v>
      </c>
      <c r="M868" s="27">
        <v>5281090</v>
      </c>
      <c r="N868" s="502" t="s">
        <v>9774</v>
      </c>
      <c r="O868" s="216" t="s">
        <v>61</v>
      </c>
      <c r="P868" s="502" t="s">
        <v>419</v>
      </c>
      <c r="Q868" s="502" t="s">
        <v>9986</v>
      </c>
      <c r="R868" s="502" t="s">
        <v>4329</v>
      </c>
      <c r="S868" s="1021" t="s">
        <v>16</v>
      </c>
      <c r="T868" s="992" t="s">
        <v>401</v>
      </c>
      <c r="U868" s="46" t="s">
        <v>9506</v>
      </c>
      <c r="V868" s="46" t="s">
        <v>9442</v>
      </c>
      <c r="W868" s="46" t="s">
        <v>37</v>
      </c>
      <c r="X868" s="47">
        <v>44420</v>
      </c>
      <c r="Y868" s="1151"/>
      <c r="Z868" s="894"/>
      <c r="AA868" s="1155"/>
    </row>
    <row r="869" spans="1:27" ht="39" x14ac:dyDescent="0.25">
      <c r="A869" s="736"/>
      <c r="B869" s="787"/>
      <c r="C869" s="515"/>
      <c r="D869" s="784"/>
      <c r="E869" s="784"/>
      <c r="F869" s="515"/>
      <c r="G869" s="515"/>
      <c r="H869" s="784"/>
      <c r="I869" s="889"/>
      <c r="J869" s="501">
        <v>5635</v>
      </c>
      <c r="K869" s="60" t="s">
        <v>9775</v>
      </c>
      <c r="L869" s="27">
        <v>1607250</v>
      </c>
      <c r="M869" s="27">
        <v>5281160</v>
      </c>
      <c r="N869" s="1020" t="s">
        <v>9776</v>
      </c>
      <c r="O869" s="216" t="s">
        <v>61</v>
      </c>
      <c r="P869" s="502" t="s">
        <v>419</v>
      </c>
      <c r="Q869" s="502" t="s">
        <v>5306</v>
      </c>
      <c r="R869" s="502" t="s">
        <v>4329</v>
      </c>
      <c r="S869" s="1021" t="s">
        <v>16</v>
      </c>
      <c r="T869" s="992" t="s">
        <v>4131</v>
      </c>
      <c r="U869" s="46" t="s">
        <v>9489</v>
      </c>
      <c r="V869" s="46" t="s">
        <v>9442</v>
      </c>
      <c r="W869" s="46" t="s">
        <v>37</v>
      </c>
      <c r="X869" s="47">
        <v>44420</v>
      </c>
      <c r="Y869" s="1151"/>
      <c r="Z869" s="894"/>
      <c r="AA869" s="1155"/>
    </row>
    <row r="870" spans="1:27" ht="26.25" x14ac:dyDescent="0.25">
      <c r="A870" s="736"/>
      <c r="B870" s="787"/>
      <c r="C870" s="515"/>
      <c r="D870" s="784"/>
      <c r="E870" s="784"/>
      <c r="F870" s="515"/>
      <c r="G870" s="515"/>
      <c r="H870" s="784"/>
      <c r="I870" s="889"/>
      <c r="J870" s="501">
        <v>5638</v>
      </c>
      <c r="K870" s="60" t="s">
        <v>9777</v>
      </c>
      <c r="L870" s="27">
        <v>1605360</v>
      </c>
      <c r="M870" s="27">
        <v>5280960</v>
      </c>
      <c r="N870" s="1020" t="s">
        <v>9778</v>
      </c>
      <c r="O870" s="216" t="s">
        <v>61</v>
      </c>
      <c r="P870" s="502" t="s">
        <v>419</v>
      </c>
      <c r="Q870" s="502" t="s">
        <v>9954</v>
      </c>
      <c r="R870" s="502" t="s">
        <v>4329</v>
      </c>
      <c r="S870" s="1021" t="s">
        <v>16</v>
      </c>
      <c r="T870" s="992" t="s">
        <v>4131</v>
      </c>
      <c r="U870" s="46" t="s">
        <v>9482</v>
      </c>
      <c r="V870" s="46" t="s">
        <v>9442</v>
      </c>
      <c r="W870" s="46" t="s">
        <v>37</v>
      </c>
      <c r="X870" s="47">
        <v>44420</v>
      </c>
      <c r="Y870" s="1151"/>
      <c r="Z870" s="894"/>
      <c r="AA870" s="1155"/>
    </row>
    <row r="871" spans="1:27" ht="26.25" x14ac:dyDescent="0.25">
      <c r="A871" s="736"/>
      <c r="B871" s="787"/>
      <c r="C871" s="515"/>
      <c r="D871" s="784"/>
      <c r="E871" s="784"/>
      <c r="F871" s="515"/>
      <c r="G871" s="515"/>
      <c r="H871" s="784"/>
      <c r="I871" s="889"/>
      <c r="J871" s="501">
        <v>5639</v>
      </c>
      <c r="K871" s="60" t="s">
        <v>9779</v>
      </c>
      <c r="L871" s="27">
        <v>1604800</v>
      </c>
      <c r="M871" s="27">
        <v>5280960</v>
      </c>
      <c r="N871" s="502" t="s">
        <v>9721</v>
      </c>
      <c r="O871" s="216" t="s">
        <v>61</v>
      </c>
      <c r="P871" s="502" t="s">
        <v>419</v>
      </c>
      <c r="Q871" s="502" t="s">
        <v>9989</v>
      </c>
      <c r="R871" s="502" t="s">
        <v>4329</v>
      </c>
      <c r="S871" s="1021" t="s">
        <v>16</v>
      </c>
      <c r="T871" s="992" t="s">
        <v>4131</v>
      </c>
      <c r="U871" s="46" t="s">
        <v>9482</v>
      </c>
      <c r="V871" s="46" t="s">
        <v>9442</v>
      </c>
      <c r="W871" s="46" t="s">
        <v>37</v>
      </c>
      <c r="X871" s="47">
        <v>44420</v>
      </c>
      <c r="Y871" s="1151"/>
      <c r="Z871" s="894"/>
      <c r="AA871" s="1155"/>
    </row>
    <row r="872" spans="1:27" ht="39" x14ac:dyDescent="0.25">
      <c r="A872" s="736"/>
      <c r="B872" s="787"/>
      <c r="C872" s="515"/>
      <c r="D872" s="784"/>
      <c r="E872" s="784"/>
      <c r="F872" s="515"/>
      <c r="G872" s="515"/>
      <c r="H872" s="784"/>
      <c r="I872" s="889"/>
      <c r="J872" s="501">
        <v>5640</v>
      </c>
      <c r="K872" s="60" t="s">
        <v>9780</v>
      </c>
      <c r="L872" s="27">
        <v>1606010</v>
      </c>
      <c r="M872" s="27">
        <v>5280930</v>
      </c>
      <c r="N872" s="1020" t="s">
        <v>9639</v>
      </c>
      <c r="O872" s="216" t="s">
        <v>61</v>
      </c>
      <c r="P872" s="502" t="s">
        <v>419</v>
      </c>
      <c r="Q872" s="502" t="s">
        <v>9947</v>
      </c>
      <c r="R872" s="502" t="s">
        <v>4329</v>
      </c>
      <c r="S872" s="1021" t="s">
        <v>16</v>
      </c>
      <c r="T872" s="992" t="s">
        <v>4131</v>
      </c>
      <c r="U872" s="46" t="s">
        <v>9506</v>
      </c>
      <c r="V872" s="46" t="s">
        <v>9442</v>
      </c>
      <c r="W872" s="46" t="s">
        <v>37</v>
      </c>
      <c r="X872" s="47">
        <v>44420</v>
      </c>
      <c r="Y872" s="1151"/>
      <c r="Z872" s="894"/>
      <c r="AA872" s="1155"/>
    </row>
    <row r="873" spans="1:27" ht="26.25" x14ac:dyDescent="0.25">
      <c r="A873" s="736"/>
      <c r="B873" s="787"/>
      <c r="C873" s="515"/>
      <c r="D873" s="784"/>
      <c r="E873" s="784"/>
      <c r="F873" s="515"/>
      <c r="G873" s="515"/>
      <c r="H873" s="784"/>
      <c r="I873" s="889"/>
      <c r="J873" s="501">
        <v>5641</v>
      </c>
      <c r="K873" s="60" t="s">
        <v>9781</v>
      </c>
      <c r="L873" s="27">
        <v>1593490</v>
      </c>
      <c r="M873" s="27">
        <v>5280410</v>
      </c>
      <c r="N873" s="1022" t="s">
        <v>9782</v>
      </c>
      <c r="O873" s="216" t="s">
        <v>61</v>
      </c>
      <c r="P873" s="502" t="s">
        <v>419</v>
      </c>
      <c r="Q873" s="502" t="s">
        <v>9988</v>
      </c>
      <c r="R873" s="502" t="s">
        <v>4329</v>
      </c>
      <c r="S873" s="1021" t="s">
        <v>16</v>
      </c>
      <c r="T873" s="992" t="s">
        <v>4131</v>
      </c>
      <c r="U873" s="46" t="s">
        <v>9482</v>
      </c>
      <c r="V873" s="46" t="s">
        <v>9442</v>
      </c>
      <c r="W873" s="46" t="s">
        <v>37</v>
      </c>
      <c r="X873" s="47">
        <v>44420</v>
      </c>
      <c r="Y873" s="1151"/>
      <c r="Z873" s="894"/>
      <c r="AA873" s="1155"/>
    </row>
    <row r="874" spans="1:27" ht="26.25" x14ac:dyDescent="0.25">
      <c r="A874" s="736"/>
      <c r="B874" s="787"/>
      <c r="C874" s="515"/>
      <c r="D874" s="784"/>
      <c r="E874" s="784"/>
      <c r="F874" s="515"/>
      <c r="G874" s="515"/>
      <c r="H874" s="784"/>
      <c r="I874" s="889"/>
      <c r="J874" s="501">
        <v>5644</v>
      </c>
      <c r="K874" s="60" t="s">
        <v>9783</v>
      </c>
      <c r="L874" s="27">
        <v>1595900</v>
      </c>
      <c r="M874" s="27">
        <v>5279990</v>
      </c>
      <c r="N874" s="1020" t="s">
        <v>9784</v>
      </c>
      <c r="O874" s="216" t="s">
        <v>61</v>
      </c>
      <c r="P874" s="502" t="s">
        <v>419</v>
      </c>
      <c r="Q874" s="502" t="s">
        <v>9990</v>
      </c>
      <c r="R874" s="502" t="s">
        <v>4329</v>
      </c>
      <c r="S874" s="1021" t="s">
        <v>16</v>
      </c>
      <c r="T874" s="992" t="s">
        <v>4131</v>
      </c>
      <c r="U874" s="46" t="s">
        <v>9482</v>
      </c>
      <c r="V874" s="46" t="s">
        <v>9442</v>
      </c>
      <c r="W874" s="46" t="s">
        <v>37</v>
      </c>
      <c r="X874" s="47">
        <v>44420</v>
      </c>
      <c r="Y874" s="1151"/>
      <c r="Z874" s="894"/>
      <c r="AA874" s="1155"/>
    </row>
    <row r="875" spans="1:27" ht="26.25" x14ac:dyDescent="0.25">
      <c r="A875" s="736"/>
      <c r="B875" s="787"/>
      <c r="C875" s="515"/>
      <c r="D875" s="784"/>
      <c r="E875" s="784"/>
      <c r="F875" s="515"/>
      <c r="G875" s="515"/>
      <c r="H875" s="784"/>
      <c r="I875" s="889"/>
      <c r="J875" s="501">
        <v>5645</v>
      </c>
      <c r="K875" s="60" t="s">
        <v>9785</v>
      </c>
      <c r="L875" s="27">
        <v>1592600</v>
      </c>
      <c r="M875" s="27">
        <v>5280340</v>
      </c>
      <c r="N875" s="1020" t="s">
        <v>9786</v>
      </c>
      <c r="O875" s="216" t="s">
        <v>61</v>
      </c>
      <c r="P875" s="502" t="s">
        <v>419</v>
      </c>
      <c r="Q875" s="502" t="s">
        <v>9954</v>
      </c>
      <c r="R875" s="502" t="s">
        <v>4329</v>
      </c>
      <c r="S875" s="1021" t="s">
        <v>16</v>
      </c>
      <c r="T875" s="992" t="s">
        <v>4131</v>
      </c>
      <c r="U875" s="46" t="s">
        <v>9482</v>
      </c>
      <c r="V875" s="46" t="s">
        <v>9442</v>
      </c>
      <c r="W875" s="46" t="s">
        <v>37</v>
      </c>
      <c r="X875" s="47">
        <v>44420</v>
      </c>
      <c r="Y875" s="1151"/>
      <c r="Z875" s="894"/>
      <c r="AA875" s="1155"/>
    </row>
    <row r="876" spans="1:27" ht="26.25" x14ac:dyDescent="0.25">
      <c r="A876" s="736"/>
      <c r="B876" s="787"/>
      <c r="C876" s="515"/>
      <c r="D876" s="784"/>
      <c r="E876" s="784"/>
      <c r="F876" s="515"/>
      <c r="G876" s="515"/>
      <c r="H876" s="784"/>
      <c r="I876" s="889"/>
      <c r="J876" s="501">
        <v>5646</v>
      </c>
      <c r="K876" s="60" t="s">
        <v>9787</v>
      </c>
      <c r="L876" s="27">
        <v>1604560</v>
      </c>
      <c r="M876" s="27">
        <v>5280640</v>
      </c>
      <c r="N876" s="502" t="s">
        <v>9788</v>
      </c>
      <c r="O876" s="216" t="s">
        <v>61</v>
      </c>
      <c r="P876" s="502" t="s">
        <v>419</v>
      </c>
      <c r="Q876" s="502" t="s">
        <v>5306</v>
      </c>
      <c r="R876" s="502" t="s">
        <v>4329</v>
      </c>
      <c r="S876" s="1021" t="s">
        <v>16</v>
      </c>
      <c r="T876" s="992" t="s">
        <v>4131</v>
      </c>
      <c r="U876" s="46" t="s">
        <v>9482</v>
      </c>
      <c r="V876" s="46" t="s">
        <v>9442</v>
      </c>
      <c r="W876" s="46" t="s">
        <v>37</v>
      </c>
      <c r="X876" s="47">
        <v>44420</v>
      </c>
      <c r="Y876" s="1151"/>
      <c r="Z876" s="894"/>
      <c r="AA876" s="1155"/>
    </row>
    <row r="877" spans="1:27" ht="26.25" x14ac:dyDescent="0.25">
      <c r="A877" s="736"/>
      <c r="B877" s="787"/>
      <c r="C877" s="515"/>
      <c r="D877" s="784"/>
      <c r="E877" s="784"/>
      <c r="F877" s="515"/>
      <c r="G877" s="515"/>
      <c r="H877" s="784"/>
      <c r="I877" s="889"/>
      <c r="J877" s="501">
        <v>5647</v>
      </c>
      <c r="K877" s="60" t="s">
        <v>9789</v>
      </c>
      <c r="L877" s="27">
        <v>1604560</v>
      </c>
      <c r="M877" s="27">
        <v>5280640</v>
      </c>
      <c r="N877" s="502" t="s">
        <v>9790</v>
      </c>
      <c r="O877" s="216" t="s">
        <v>61</v>
      </c>
      <c r="P877" s="502" t="s">
        <v>419</v>
      </c>
      <c r="Q877" s="502" t="s">
        <v>2261</v>
      </c>
      <c r="R877" s="502" t="s">
        <v>4329</v>
      </c>
      <c r="S877" s="1021" t="s">
        <v>16</v>
      </c>
      <c r="T877" s="992" t="s">
        <v>8363</v>
      </c>
      <c r="U877" s="46" t="s">
        <v>9482</v>
      </c>
      <c r="V877" s="46" t="s">
        <v>9442</v>
      </c>
      <c r="W877" s="46" t="s">
        <v>37</v>
      </c>
      <c r="X877" s="47">
        <v>44420</v>
      </c>
      <c r="Y877" s="1151"/>
      <c r="Z877" s="894"/>
      <c r="AA877" s="1155"/>
    </row>
    <row r="878" spans="1:27" ht="26.25" x14ac:dyDescent="0.25">
      <c r="A878" s="736"/>
      <c r="B878" s="787"/>
      <c r="C878" s="515"/>
      <c r="D878" s="784"/>
      <c r="E878" s="784"/>
      <c r="F878" s="515"/>
      <c r="G878" s="515"/>
      <c r="H878" s="784"/>
      <c r="I878" s="889"/>
      <c r="J878" s="501">
        <v>5649</v>
      </c>
      <c r="K878" s="60" t="s">
        <v>9791</v>
      </c>
      <c r="L878" s="27">
        <v>1595920</v>
      </c>
      <c r="M878" s="27">
        <v>5279940</v>
      </c>
      <c r="N878" s="1020" t="s">
        <v>9784</v>
      </c>
      <c r="O878" s="216" t="s">
        <v>61</v>
      </c>
      <c r="P878" s="502" t="s">
        <v>419</v>
      </c>
      <c r="Q878" s="502" t="s">
        <v>9990</v>
      </c>
      <c r="R878" s="502" t="s">
        <v>4329</v>
      </c>
      <c r="S878" s="1021" t="s">
        <v>16</v>
      </c>
      <c r="T878" s="992" t="s">
        <v>4131</v>
      </c>
      <c r="U878" s="46" t="s">
        <v>9482</v>
      </c>
      <c r="V878" s="46" t="s">
        <v>9442</v>
      </c>
      <c r="W878" s="46" t="s">
        <v>37</v>
      </c>
      <c r="X878" s="47">
        <v>44420</v>
      </c>
      <c r="Y878" s="1151"/>
      <c r="Z878" s="894"/>
      <c r="AA878" s="1155"/>
    </row>
    <row r="879" spans="1:27" ht="26.25" x14ac:dyDescent="0.25">
      <c r="A879" s="736"/>
      <c r="B879" s="787"/>
      <c r="C879" s="515"/>
      <c r="D879" s="784"/>
      <c r="E879" s="784"/>
      <c r="F879" s="515"/>
      <c r="G879" s="515"/>
      <c r="H879" s="784"/>
      <c r="I879" s="889"/>
      <c r="J879" s="501">
        <v>5652</v>
      </c>
      <c r="K879" s="60" t="s">
        <v>9792</v>
      </c>
      <c r="L879" s="27">
        <v>1598140</v>
      </c>
      <c r="M879" s="27">
        <v>5279680</v>
      </c>
      <c r="N879" s="502" t="s">
        <v>9793</v>
      </c>
      <c r="O879" s="216" t="s">
        <v>61</v>
      </c>
      <c r="P879" s="502" t="s">
        <v>419</v>
      </c>
      <c r="Q879" s="502" t="s">
        <v>9991</v>
      </c>
      <c r="R879" s="502" t="s">
        <v>4329</v>
      </c>
      <c r="S879" s="1021" t="s">
        <v>16</v>
      </c>
      <c r="T879" s="992" t="s">
        <v>4131</v>
      </c>
      <c r="U879" s="46" t="s">
        <v>9441</v>
      </c>
      <c r="V879" s="46" t="s">
        <v>9442</v>
      </c>
      <c r="W879" s="46" t="s">
        <v>37</v>
      </c>
      <c r="X879" s="47">
        <v>44420</v>
      </c>
      <c r="Y879" s="1151"/>
      <c r="Z879" s="894"/>
      <c r="AA879" s="1155"/>
    </row>
    <row r="880" spans="1:27" ht="26.25" x14ac:dyDescent="0.25">
      <c r="A880" s="736"/>
      <c r="B880" s="787"/>
      <c r="C880" s="515"/>
      <c r="D880" s="784"/>
      <c r="E880" s="784"/>
      <c r="F880" s="515"/>
      <c r="G880" s="515"/>
      <c r="H880" s="784"/>
      <c r="I880" s="889"/>
      <c r="J880" s="501">
        <v>5653</v>
      </c>
      <c r="K880" s="60" t="s">
        <v>9794</v>
      </c>
      <c r="L880" s="27">
        <v>1593220</v>
      </c>
      <c r="M880" s="27">
        <v>5280420</v>
      </c>
      <c r="N880" s="1020" t="s">
        <v>9795</v>
      </c>
      <c r="O880" s="216" t="s">
        <v>61</v>
      </c>
      <c r="P880" s="502" t="s">
        <v>419</v>
      </c>
      <c r="Q880" s="502" t="s">
        <v>9992</v>
      </c>
      <c r="R880" s="502" t="s">
        <v>4329</v>
      </c>
      <c r="S880" s="1021" t="s">
        <v>16</v>
      </c>
      <c r="T880" s="992" t="s">
        <v>4131</v>
      </c>
      <c r="U880" s="46" t="s">
        <v>9482</v>
      </c>
      <c r="V880" s="46" t="s">
        <v>9442</v>
      </c>
      <c r="W880" s="46" t="s">
        <v>37</v>
      </c>
      <c r="X880" s="47">
        <v>44420</v>
      </c>
      <c r="Y880" s="1151"/>
      <c r="Z880" s="894"/>
      <c r="AA880" s="1155"/>
    </row>
    <row r="881" spans="1:27" ht="26.25" x14ac:dyDescent="0.25">
      <c r="A881" s="736"/>
      <c r="B881" s="787"/>
      <c r="C881" s="515"/>
      <c r="D881" s="784"/>
      <c r="E881" s="784"/>
      <c r="F881" s="515"/>
      <c r="G881" s="515"/>
      <c r="H881" s="784"/>
      <c r="I881" s="889"/>
      <c r="J881" s="501">
        <v>5654</v>
      </c>
      <c r="K881" s="60" t="s">
        <v>9796</v>
      </c>
      <c r="L881" s="27">
        <v>1597020</v>
      </c>
      <c r="M881" s="27">
        <v>5279730</v>
      </c>
      <c r="N881" s="1020" t="s">
        <v>9797</v>
      </c>
      <c r="O881" s="216" t="s">
        <v>61</v>
      </c>
      <c r="P881" s="502" t="s">
        <v>419</v>
      </c>
      <c r="Q881" s="502" t="s">
        <v>9993</v>
      </c>
      <c r="R881" s="502" t="s">
        <v>4329</v>
      </c>
      <c r="S881" s="1021" t="s">
        <v>16</v>
      </c>
      <c r="T881" s="992" t="s">
        <v>9798</v>
      </c>
      <c r="U881" s="46" t="s">
        <v>9441</v>
      </c>
      <c r="V881" s="46" t="s">
        <v>9442</v>
      </c>
      <c r="W881" s="46" t="s">
        <v>37</v>
      </c>
      <c r="X881" s="47">
        <v>44420</v>
      </c>
      <c r="Y881" s="1151"/>
      <c r="Z881" s="894"/>
      <c r="AA881" s="1155"/>
    </row>
    <row r="882" spans="1:27" ht="26.25" x14ac:dyDescent="0.25">
      <c r="A882" s="736"/>
      <c r="B882" s="787"/>
      <c r="C882" s="515"/>
      <c r="D882" s="784"/>
      <c r="E882" s="784"/>
      <c r="F882" s="515"/>
      <c r="G882" s="515"/>
      <c r="H882" s="784"/>
      <c r="I882" s="889"/>
      <c r="J882" s="501">
        <v>5655</v>
      </c>
      <c r="K882" s="60" t="s">
        <v>9799</v>
      </c>
      <c r="L882" s="27">
        <v>1594360</v>
      </c>
      <c r="M882" s="27">
        <v>5280420</v>
      </c>
      <c r="N882" s="1020" t="s">
        <v>9800</v>
      </c>
      <c r="O882" s="216" t="s">
        <v>61</v>
      </c>
      <c r="P882" s="502" t="s">
        <v>419</v>
      </c>
      <c r="Q882" s="502" t="s">
        <v>1547</v>
      </c>
      <c r="R882" s="502" t="s">
        <v>4329</v>
      </c>
      <c r="S882" s="1021" t="s">
        <v>16</v>
      </c>
      <c r="T882" s="992" t="s">
        <v>4131</v>
      </c>
      <c r="U882" s="46" t="s">
        <v>9482</v>
      </c>
      <c r="V882" s="46" t="s">
        <v>9442</v>
      </c>
      <c r="W882" s="46" t="s">
        <v>37</v>
      </c>
      <c r="X882" s="47">
        <v>44420</v>
      </c>
      <c r="Y882" s="1151"/>
      <c r="Z882" s="894"/>
      <c r="AA882" s="1155"/>
    </row>
    <row r="883" spans="1:27" ht="26.25" x14ac:dyDescent="0.25">
      <c r="A883" s="736"/>
      <c r="B883" s="787"/>
      <c r="C883" s="515"/>
      <c r="D883" s="784"/>
      <c r="E883" s="784"/>
      <c r="F883" s="515"/>
      <c r="G883" s="515"/>
      <c r="H883" s="784"/>
      <c r="I883" s="889"/>
      <c r="J883" s="501">
        <v>5670</v>
      </c>
      <c r="K883" s="60" t="s">
        <v>9801</v>
      </c>
      <c r="L883" s="27">
        <v>1595090</v>
      </c>
      <c r="M883" s="27">
        <v>5280380</v>
      </c>
      <c r="N883" s="502" t="s">
        <v>9802</v>
      </c>
      <c r="O883" s="216" t="s">
        <v>2090</v>
      </c>
      <c r="P883" s="502" t="s">
        <v>419</v>
      </c>
      <c r="Q883" s="502" t="s">
        <v>5863</v>
      </c>
      <c r="R883" s="502" t="s">
        <v>4329</v>
      </c>
      <c r="S883" s="1021" t="s">
        <v>16</v>
      </c>
      <c r="T883" s="992" t="s">
        <v>4131</v>
      </c>
      <c r="U883" s="46" t="s">
        <v>9441</v>
      </c>
      <c r="V883" s="46" t="s">
        <v>9442</v>
      </c>
      <c r="W883" s="46" t="s">
        <v>37</v>
      </c>
      <c r="X883" s="47">
        <v>44420</v>
      </c>
      <c r="Y883" s="1151"/>
      <c r="Z883" s="894"/>
      <c r="AA883" s="1155"/>
    </row>
    <row r="884" spans="1:27" ht="26.25" x14ac:dyDescent="0.25">
      <c r="A884" s="736"/>
      <c r="B884" s="787"/>
      <c r="C884" s="515"/>
      <c r="D884" s="784"/>
      <c r="E884" s="784"/>
      <c r="F884" s="515"/>
      <c r="G884" s="515"/>
      <c r="H884" s="784"/>
      <c r="I884" s="889"/>
      <c r="J884" s="501">
        <v>5671</v>
      </c>
      <c r="K884" s="60" t="s">
        <v>9803</v>
      </c>
      <c r="L884" s="27">
        <v>1595030</v>
      </c>
      <c r="M884" s="27">
        <v>5279870</v>
      </c>
      <c r="N884" s="1022" t="s">
        <v>9804</v>
      </c>
      <c r="O884" s="216" t="s">
        <v>2090</v>
      </c>
      <c r="P884" s="502" t="s">
        <v>419</v>
      </c>
      <c r="Q884" s="502" t="s">
        <v>9930</v>
      </c>
      <c r="R884" s="502" t="s">
        <v>4329</v>
      </c>
      <c r="S884" s="1021" t="s">
        <v>16</v>
      </c>
      <c r="T884" s="992" t="s">
        <v>4131</v>
      </c>
      <c r="U884" s="46" t="s">
        <v>9441</v>
      </c>
      <c r="V884" s="46" t="s">
        <v>9442</v>
      </c>
      <c r="W884" s="46" t="s">
        <v>37</v>
      </c>
      <c r="X884" s="47">
        <v>44420</v>
      </c>
      <c r="Y884" s="1151"/>
      <c r="Z884" s="894"/>
      <c r="AA884" s="1155"/>
    </row>
    <row r="885" spans="1:27" ht="27" thickBot="1" x14ac:dyDescent="0.3">
      <c r="A885" s="790"/>
      <c r="B885" s="777"/>
      <c r="C885" s="28"/>
      <c r="D885" s="575"/>
      <c r="E885" s="575"/>
      <c r="F885" s="28"/>
      <c r="G885" s="28"/>
      <c r="H885" s="575"/>
      <c r="I885" s="890"/>
      <c r="J885" s="503">
        <v>5696</v>
      </c>
      <c r="K885" s="62" t="s">
        <v>9805</v>
      </c>
      <c r="L885" s="28">
        <v>1595040</v>
      </c>
      <c r="M885" s="28">
        <v>5280270</v>
      </c>
      <c r="N885" s="504" t="s">
        <v>9806</v>
      </c>
      <c r="O885" s="223" t="s">
        <v>2090</v>
      </c>
      <c r="P885" s="504" t="s">
        <v>419</v>
      </c>
      <c r="Q885" s="504" t="s">
        <v>2656</v>
      </c>
      <c r="R885" s="504" t="s">
        <v>4329</v>
      </c>
      <c r="S885" s="1023" t="s">
        <v>16</v>
      </c>
      <c r="T885" s="850" t="s">
        <v>4131</v>
      </c>
      <c r="U885" s="52" t="s">
        <v>9441</v>
      </c>
      <c r="V885" s="52" t="s">
        <v>9442</v>
      </c>
      <c r="W885" s="52" t="s">
        <v>37</v>
      </c>
      <c r="X885" s="53">
        <v>44420</v>
      </c>
      <c r="Y885" s="1152"/>
      <c r="Z885" s="1158"/>
      <c r="AA885" s="1156"/>
    </row>
    <row r="886" spans="1:27" s="871" customFormat="1" ht="39" x14ac:dyDescent="0.25">
      <c r="A886" s="1114" t="s">
        <v>4279</v>
      </c>
      <c r="B886" s="780" t="s">
        <v>6791</v>
      </c>
      <c r="C886" s="431" t="s">
        <v>2156</v>
      </c>
      <c r="D886" s="858" t="s">
        <v>2156</v>
      </c>
      <c r="E886" s="858" t="s">
        <v>2156</v>
      </c>
      <c r="F886" s="158" t="s">
        <v>2156</v>
      </c>
      <c r="G886" s="157" t="s">
        <v>2156</v>
      </c>
      <c r="H886" s="157" t="s">
        <v>2156</v>
      </c>
      <c r="I886" s="450" t="s">
        <v>2156</v>
      </c>
      <c r="J886" s="193">
        <v>679</v>
      </c>
      <c r="K886" s="433" t="s">
        <v>3818</v>
      </c>
      <c r="L886" s="924">
        <v>1687748</v>
      </c>
      <c r="M886" s="924">
        <v>5354950</v>
      </c>
      <c r="N886" s="159" t="s">
        <v>2717</v>
      </c>
      <c r="O886" s="159" t="s">
        <v>5</v>
      </c>
      <c r="P886" s="159">
        <v>1</v>
      </c>
      <c r="Q886" s="159" t="s">
        <v>8889</v>
      </c>
      <c r="R886" s="433" t="s">
        <v>8979</v>
      </c>
      <c r="S886" s="160" t="s">
        <v>10</v>
      </c>
      <c r="T886" s="846" t="s">
        <v>4131</v>
      </c>
      <c r="U886" s="152" t="s">
        <v>4338</v>
      </c>
      <c r="V886" s="152" t="s">
        <v>4285</v>
      </c>
      <c r="W886" s="152" t="s">
        <v>37</v>
      </c>
      <c r="X886" s="170">
        <v>44211</v>
      </c>
      <c r="Y886" s="152"/>
      <c r="Z886" s="361"/>
      <c r="AA886" s="1112"/>
    </row>
    <row r="887" spans="1:27" s="871" customFormat="1" ht="39" x14ac:dyDescent="0.25">
      <c r="A887" s="1136"/>
      <c r="B887" s="1137"/>
      <c r="C887" s="430"/>
      <c r="D887" s="859"/>
      <c r="E887" s="859"/>
      <c r="F887" s="162"/>
      <c r="G887" s="161"/>
      <c r="H887" s="161"/>
      <c r="I887" s="423"/>
      <c r="J887" s="194">
        <v>680</v>
      </c>
      <c r="K887" s="434" t="s">
        <v>3819</v>
      </c>
      <c r="L887" s="919">
        <v>1687746</v>
      </c>
      <c r="M887" s="919">
        <v>5354832</v>
      </c>
      <c r="N887" s="163" t="s">
        <v>4280</v>
      </c>
      <c r="O887" s="163" t="s">
        <v>5</v>
      </c>
      <c r="P887" s="163">
        <v>1</v>
      </c>
      <c r="Q887" s="163" t="s">
        <v>8879</v>
      </c>
      <c r="R887" s="434" t="s">
        <v>8979</v>
      </c>
      <c r="S887" s="164" t="s">
        <v>10</v>
      </c>
      <c r="T887" s="847" t="s">
        <v>4131</v>
      </c>
      <c r="U887" s="137" t="s">
        <v>4339</v>
      </c>
      <c r="V887" s="137" t="s">
        <v>4285</v>
      </c>
      <c r="W887" s="137" t="s">
        <v>37</v>
      </c>
      <c r="X887" s="139">
        <v>44211</v>
      </c>
      <c r="Y887" s="137"/>
      <c r="Z887" s="358"/>
      <c r="AA887" s="1110"/>
    </row>
    <row r="888" spans="1:27" s="871" customFormat="1" ht="39.75" thickBot="1" x14ac:dyDescent="0.3">
      <c r="A888" s="1138"/>
      <c r="B888" s="1139"/>
      <c r="C888" s="432"/>
      <c r="D888" s="860"/>
      <c r="E888" s="860"/>
      <c r="F888" s="166"/>
      <c r="G888" s="165"/>
      <c r="H888" s="165"/>
      <c r="I888" s="424"/>
      <c r="J888" s="195">
        <v>681</v>
      </c>
      <c r="K888" s="435" t="s">
        <v>4287</v>
      </c>
      <c r="L888" s="925">
        <v>1687725</v>
      </c>
      <c r="M888" s="925">
        <v>5354826</v>
      </c>
      <c r="N888" s="167" t="s">
        <v>4281</v>
      </c>
      <c r="O888" s="167" t="s">
        <v>61</v>
      </c>
      <c r="P888" s="167" t="s">
        <v>419</v>
      </c>
      <c r="Q888" s="167" t="s">
        <v>4681</v>
      </c>
      <c r="R888" s="435" t="s">
        <v>4282</v>
      </c>
      <c r="S888" s="168" t="s">
        <v>10</v>
      </c>
      <c r="T888" s="848" t="s">
        <v>4283</v>
      </c>
      <c r="U888" s="155" t="s">
        <v>4340</v>
      </c>
      <c r="V888" s="155" t="s">
        <v>4285</v>
      </c>
      <c r="W888" s="155" t="s">
        <v>37</v>
      </c>
      <c r="X888" s="172">
        <v>44211</v>
      </c>
      <c r="Y888" s="155"/>
      <c r="Z888" s="362"/>
      <c r="AA888" s="1111"/>
    </row>
    <row r="889" spans="1:27" s="871" customFormat="1" ht="77.25" x14ac:dyDescent="0.25">
      <c r="A889" s="1045" t="s">
        <v>824</v>
      </c>
      <c r="B889" s="700" t="s">
        <v>839</v>
      </c>
      <c r="C889" s="217">
        <v>804</v>
      </c>
      <c r="D889" s="596" t="s">
        <v>52</v>
      </c>
      <c r="E889" s="596" t="s">
        <v>53</v>
      </c>
      <c r="F889" s="217" t="s">
        <v>840</v>
      </c>
      <c r="G889" s="525" t="s">
        <v>1973</v>
      </c>
      <c r="H889" s="26" t="s">
        <v>4767</v>
      </c>
      <c r="I889" s="29" t="s">
        <v>4768</v>
      </c>
      <c r="J889" s="490">
        <v>826</v>
      </c>
      <c r="K889" s="469" t="s">
        <v>825</v>
      </c>
      <c r="L889" s="961">
        <v>1367653.6410999999</v>
      </c>
      <c r="M889" s="961">
        <v>4888612.2975000003</v>
      </c>
      <c r="N889" s="491" t="s">
        <v>4760</v>
      </c>
      <c r="O889" s="491" t="s">
        <v>193</v>
      </c>
      <c r="P889" s="491">
        <v>4</v>
      </c>
      <c r="Q889" s="491" t="s">
        <v>4760</v>
      </c>
      <c r="R889" s="58" t="s">
        <v>4762</v>
      </c>
      <c r="S889" s="26" t="s">
        <v>16</v>
      </c>
      <c r="T889" s="846" t="s">
        <v>4761</v>
      </c>
      <c r="U889" s="203" t="s">
        <v>4763</v>
      </c>
      <c r="V889" s="152" t="s">
        <v>4234</v>
      </c>
      <c r="W889" s="152" t="s">
        <v>37</v>
      </c>
      <c r="X889" s="170">
        <v>44228</v>
      </c>
      <c r="Y889" s="152"/>
      <c r="Z889" s="361"/>
      <c r="AA889" s="1112"/>
    </row>
    <row r="890" spans="1:27" s="871" customFormat="1" ht="51.75" x14ac:dyDescent="0.25">
      <c r="A890" s="1046"/>
      <c r="B890" s="702"/>
      <c r="C890" s="213"/>
      <c r="D890" s="578"/>
      <c r="E890" s="578"/>
      <c r="F890" s="245"/>
      <c r="G890" s="27"/>
      <c r="H890" s="27"/>
      <c r="I890" s="639"/>
      <c r="J890" s="501">
        <v>827</v>
      </c>
      <c r="K890" s="470" t="s">
        <v>826</v>
      </c>
      <c r="L890" s="962">
        <v>1370311.1891000001</v>
      </c>
      <c r="M890" s="962">
        <v>4895319.3145000003</v>
      </c>
      <c r="N890" s="502" t="s">
        <v>4764</v>
      </c>
      <c r="O890" s="502" t="s">
        <v>193</v>
      </c>
      <c r="P890" s="502">
        <v>6</v>
      </c>
      <c r="Q890" s="502" t="s">
        <v>4764</v>
      </c>
      <c r="R890" s="60" t="s">
        <v>4762</v>
      </c>
      <c r="S890" s="27" t="s">
        <v>16</v>
      </c>
      <c r="T890" s="847" t="s">
        <v>4761</v>
      </c>
      <c r="U890" s="180" t="s">
        <v>4765</v>
      </c>
      <c r="V890" s="137" t="s">
        <v>4234</v>
      </c>
      <c r="W890" s="137" t="s">
        <v>37</v>
      </c>
      <c r="X890" s="139">
        <v>44228</v>
      </c>
      <c r="Y890" s="137"/>
      <c r="Z890" s="358"/>
      <c r="AA890" s="1110"/>
    </row>
    <row r="891" spans="1:27" s="871" customFormat="1" ht="52.5" thickBot="1" x14ac:dyDescent="0.3">
      <c r="A891" s="1048"/>
      <c r="B891" s="1049"/>
      <c r="C891" s="220"/>
      <c r="D891" s="579"/>
      <c r="E891" s="579"/>
      <c r="F891" s="246"/>
      <c r="G891" s="28"/>
      <c r="H891" s="28"/>
      <c r="I891" s="608"/>
      <c r="J891" s="503">
        <v>828</v>
      </c>
      <c r="K891" s="471" t="s">
        <v>827</v>
      </c>
      <c r="L891" s="963">
        <v>1370389.7705000001</v>
      </c>
      <c r="M891" s="963">
        <v>4895387.1802000003</v>
      </c>
      <c r="N891" s="504" t="s">
        <v>4766</v>
      </c>
      <c r="O891" s="504" t="s">
        <v>193</v>
      </c>
      <c r="P891" s="504">
        <v>5</v>
      </c>
      <c r="Q891" s="504" t="s">
        <v>4766</v>
      </c>
      <c r="R891" s="62" t="s">
        <v>4762</v>
      </c>
      <c r="S891" s="28" t="s">
        <v>16</v>
      </c>
      <c r="T891" s="848" t="s">
        <v>4761</v>
      </c>
      <c r="U891" s="183" t="s">
        <v>4763</v>
      </c>
      <c r="V891" s="155" t="s">
        <v>4234</v>
      </c>
      <c r="W891" s="155" t="s">
        <v>37</v>
      </c>
      <c r="X891" s="172">
        <v>44228</v>
      </c>
      <c r="Y891" s="155"/>
      <c r="Z891" s="362"/>
      <c r="AA891" s="1111"/>
    </row>
    <row r="892" spans="1:27" s="871" customFormat="1" ht="51.75" x14ac:dyDescent="0.25">
      <c r="A892" s="635" t="s">
        <v>4292</v>
      </c>
      <c r="B892" s="316" t="s">
        <v>4293</v>
      </c>
      <c r="C892" s="254">
        <v>586</v>
      </c>
      <c r="D892" s="597" t="s">
        <v>53</v>
      </c>
      <c r="E892" s="597" t="s">
        <v>57</v>
      </c>
      <c r="F892" s="145" t="s">
        <v>2241</v>
      </c>
      <c r="G892" s="145" t="s">
        <v>3061</v>
      </c>
      <c r="H892" s="125"/>
      <c r="I892" s="247"/>
      <c r="J892" s="189">
        <v>777</v>
      </c>
      <c r="K892" s="355" t="s">
        <v>4294</v>
      </c>
      <c r="L892" s="911">
        <v>1658885</v>
      </c>
      <c r="M892" s="911">
        <v>5327077</v>
      </c>
      <c r="N892" s="126" t="s">
        <v>4296</v>
      </c>
      <c r="O892" s="126" t="s">
        <v>5</v>
      </c>
      <c r="P892" s="126">
        <v>1</v>
      </c>
      <c r="Q892" s="126" t="s">
        <v>8950</v>
      </c>
      <c r="R892" s="355" t="s">
        <v>8978</v>
      </c>
      <c r="S892" s="134" t="s">
        <v>10</v>
      </c>
      <c r="T892" s="846" t="s">
        <v>341</v>
      </c>
      <c r="U892" s="152" t="s">
        <v>4299</v>
      </c>
      <c r="V892" s="152" t="s">
        <v>4285</v>
      </c>
      <c r="W892" s="152" t="s">
        <v>37</v>
      </c>
      <c r="X892" s="170">
        <v>44211</v>
      </c>
      <c r="Y892" s="152"/>
      <c r="Z892" s="361"/>
      <c r="AA892" s="1112"/>
    </row>
    <row r="893" spans="1:27" s="871" customFormat="1" ht="27" thickBot="1" x14ac:dyDescent="0.3">
      <c r="A893" s="636"/>
      <c r="B893" s="315"/>
      <c r="C893" s="261"/>
      <c r="D893" s="581"/>
      <c r="E893" s="581"/>
      <c r="F893" s="147"/>
      <c r="G893" s="96"/>
      <c r="H893" s="96"/>
      <c r="I893" s="123"/>
      <c r="J893" s="190">
        <v>795</v>
      </c>
      <c r="K893" s="357" t="s">
        <v>4295</v>
      </c>
      <c r="L893" s="912">
        <v>1655503</v>
      </c>
      <c r="M893" s="912">
        <v>5324867</v>
      </c>
      <c r="N893" s="107" t="s">
        <v>4297</v>
      </c>
      <c r="O893" s="107" t="s">
        <v>194</v>
      </c>
      <c r="P893" s="107">
        <v>1</v>
      </c>
      <c r="Q893" s="107" t="s">
        <v>8977</v>
      </c>
      <c r="R893" s="357" t="s">
        <v>4550</v>
      </c>
      <c r="S893" s="100" t="s">
        <v>16</v>
      </c>
      <c r="T893" s="848" t="s">
        <v>4298</v>
      </c>
      <c r="U893" s="155" t="s">
        <v>4300</v>
      </c>
      <c r="V893" s="155" t="s">
        <v>4285</v>
      </c>
      <c r="W893" s="155" t="s">
        <v>37</v>
      </c>
      <c r="X893" s="172">
        <v>44211</v>
      </c>
      <c r="Y893" s="155"/>
      <c r="Z893" s="362"/>
      <c r="AA893" s="1111"/>
    </row>
    <row r="894" spans="1:27" s="352" customFormat="1" ht="64.5" thickBot="1" x14ac:dyDescent="0.25">
      <c r="A894" s="345" t="s">
        <v>4</v>
      </c>
      <c r="B894" s="331" t="s">
        <v>54</v>
      </c>
      <c r="C894" s="83">
        <v>566</v>
      </c>
      <c r="D894" s="588" t="s">
        <v>53</v>
      </c>
      <c r="E894" s="588"/>
      <c r="F894" s="268" t="s">
        <v>152</v>
      </c>
      <c r="G894" s="83" t="s">
        <v>1974</v>
      </c>
      <c r="H894" s="83"/>
      <c r="I894" s="331"/>
      <c r="J894" s="87">
        <v>5</v>
      </c>
      <c r="K894" s="360" t="s">
        <v>3848</v>
      </c>
      <c r="L894" s="198">
        <v>1689691</v>
      </c>
      <c r="M894" s="198">
        <v>5398180.9999599997</v>
      </c>
      <c r="N894" s="83" t="s">
        <v>35</v>
      </c>
      <c r="O894" s="83" t="s">
        <v>5</v>
      </c>
      <c r="P894" s="83">
        <v>1</v>
      </c>
      <c r="Q894" s="83" t="s">
        <v>9244</v>
      </c>
      <c r="R894" s="331" t="s">
        <v>156</v>
      </c>
      <c r="S894" s="88" t="s">
        <v>16</v>
      </c>
      <c r="T894" s="368" t="s">
        <v>34</v>
      </c>
      <c r="U894" s="92" t="s">
        <v>36</v>
      </c>
      <c r="V894" s="92" t="s">
        <v>14</v>
      </c>
      <c r="W894" s="92" t="s">
        <v>37</v>
      </c>
      <c r="X894" s="93">
        <v>43957</v>
      </c>
      <c r="Y894" s="92"/>
      <c r="Z894" s="368"/>
      <c r="AA894" s="1108"/>
    </row>
    <row r="895" spans="1:27" s="871" customFormat="1" ht="65.25" thickBot="1" x14ac:dyDescent="0.3">
      <c r="A895" s="1041" t="s">
        <v>4</v>
      </c>
      <c r="B895" s="589" t="s">
        <v>7727</v>
      </c>
      <c r="C895" s="110">
        <v>565</v>
      </c>
      <c r="D895" s="638" t="s">
        <v>57</v>
      </c>
      <c r="E895" s="638" t="s">
        <v>53</v>
      </c>
      <c r="F895" s="149" t="s">
        <v>668</v>
      </c>
      <c r="G895" s="149" t="s">
        <v>4996</v>
      </c>
      <c r="H895" s="84"/>
      <c r="I895" s="124"/>
      <c r="J895" s="190">
        <v>5506</v>
      </c>
      <c r="K895" s="357" t="s">
        <v>9134</v>
      </c>
      <c r="L895" s="912">
        <v>1710900.9101</v>
      </c>
      <c r="M895" s="912">
        <v>5400784.5466999998</v>
      </c>
      <c r="N895" s="107" t="s">
        <v>9129</v>
      </c>
      <c r="O895" s="107" t="s">
        <v>194</v>
      </c>
      <c r="P895" s="107">
        <v>8</v>
      </c>
      <c r="Q895" s="107" t="s">
        <v>9131</v>
      </c>
      <c r="R895" s="357" t="s">
        <v>9135</v>
      </c>
      <c r="S895" s="100" t="s">
        <v>16</v>
      </c>
      <c r="T895" s="446" t="s">
        <v>6013</v>
      </c>
      <c r="U895" s="208" t="s">
        <v>9130</v>
      </c>
      <c r="V895" s="208" t="s">
        <v>7720</v>
      </c>
      <c r="W895" s="208" t="s">
        <v>37</v>
      </c>
      <c r="X895" s="209">
        <v>44412</v>
      </c>
      <c r="Y895" s="208"/>
      <c r="Z895" s="364"/>
      <c r="AA895" s="1109"/>
    </row>
    <row r="896" spans="1:27" ht="39.75" thickBot="1" x14ac:dyDescent="0.3">
      <c r="A896" s="334" t="s">
        <v>2706</v>
      </c>
      <c r="B896" s="333" t="s">
        <v>6816</v>
      </c>
      <c r="C896" s="84">
        <v>270</v>
      </c>
      <c r="D896" s="591" t="s">
        <v>53</v>
      </c>
      <c r="E896" s="591" t="s">
        <v>57</v>
      </c>
      <c r="F896" s="149" t="s">
        <v>152</v>
      </c>
      <c r="G896" s="149" t="s">
        <v>3061</v>
      </c>
      <c r="H896" s="84"/>
      <c r="I896" s="884"/>
      <c r="J896" s="89">
        <v>5499</v>
      </c>
      <c r="K896" s="396" t="s">
        <v>9101</v>
      </c>
      <c r="L896" s="265">
        <v>1927904.3711000001</v>
      </c>
      <c r="M896" s="265">
        <v>5677533.1436000001</v>
      </c>
      <c r="N896" s="84" t="s">
        <v>3862</v>
      </c>
      <c r="O896" s="84" t="s">
        <v>2047</v>
      </c>
      <c r="P896" s="84">
        <v>1</v>
      </c>
      <c r="Q896" s="84" t="s">
        <v>2244</v>
      </c>
      <c r="R896" s="396" t="s">
        <v>9111</v>
      </c>
      <c r="S896" s="90" t="s">
        <v>85</v>
      </c>
      <c r="T896" s="838" t="s">
        <v>9112</v>
      </c>
      <c r="U896" s="92" t="s">
        <v>9116</v>
      </c>
      <c r="V896" s="92" t="s">
        <v>4859</v>
      </c>
      <c r="W896" s="92" t="s">
        <v>37</v>
      </c>
      <c r="X896" s="93">
        <v>44412</v>
      </c>
      <c r="Y896" s="92"/>
      <c r="Z896" s="368"/>
      <c r="AA896" s="1108"/>
    </row>
    <row r="897" spans="1:27" ht="27" thickBot="1" x14ac:dyDescent="0.3">
      <c r="A897" s="345" t="s">
        <v>2706</v>
      </c>
      <c r="B897" s="331" t="s">
        <v>6826</v>
      </c>
      <c r="C897" s="83">
        <v>269</v>
      </c>
      <c r="D897" s="588" t="s">
        <v>53</v>
      </c>
      <c r="E897" s="588" t="s">
        <v>57</v>
      </c>
      <c r="F897" s="268" t="s">
        <v>1440</v>
      </c>
      <c r="G897" s="268" t="s">
        <v>3061</v>
      </c>
      <c r="H897" s="83"/>
      <c r="I897" s="886"/>
      <c r="J897" s="87">
        <v>5502</v>
      </c>
      <c r="K897" s="360" t="s">
        <v>9104</v>
      </c>
      <c r="L897" s="198">
        <v>1960478.7997999999</v>
      </c>
      <c r="M897" s="198">
        <v>5754817.7392999995</v>
      </c>
      <c r="N897" s="83" t="s">
        <v>9110</v>
      </c>
      <c r="O897" s="83" t="s">
        <v>2047</v>
      </c>
      <c r="P897" s="83">
        <v>1</v>
      </c>
      <c r="Q897" s="83" t="s">
        <v>9243</v>
      </c>
      <c r="R897" s="360" t="s">
        <v>9111</v>
      </c>
      <c r="S897" s="88" t="s">
        <v>85</v>
      </c>
      <c r="T897" s="838" t="s">
        <v>9112</v>
      </c>
      <c r="U897" s="92" t="s">
        <v>9118</v>
      </c>
      <c r="V897" s="92" t="s">
        <v>4859</v>
      </c>
      <c r="W897" s="92" t="s">
        <v>37</v>
      </c>
      <c r="X897" s="93">
        <v>44412</v>
      </c>
      <c r="Y897" s="92"/>
      <c r="Z897" s="368"/>
      <c r="AA897" s="1108"/>
    </row>
    <row r="898" spans="1:27" s="350" customFormat="1" ht="77.25" thickBot="1" x14ac:dyDescent="0.25">
      <c r="A898" s="341" t="s">
        <v>6476</v>
      </c>
      <c r="B898" s="181" t="s">
        <v>7670</v>
      </c>
      <c r="C898" s="125">
        <v>521</v>
      </c>
      <c r="D898" s="585" t="s">
        <v>52</v>
      </c>
      <c r="E898" s="585"/>
      <c r="F898" s="145" t="s">
        <v>9137</v>
      </c>
      <c r="G898" s="125" t="s">
        <v>1263</v>
      </c>
      <c r="H898" s="125"/>
      <c r="I898" s="247"/>
      <c r="J898" s="89">
        <v>5507</v>
      </c>
      <c r="K898" s="396" t="s">
        <v>6482</v>
      </c>
      <c r="L898" s="265">
        <v>1610303.01587</v>
      </c>
      <c r="M898" s="265">
        <v>5417427.0587999998</v>
      </c>
      <c r="N898" s="84" t="s">
        <v>776</v>
      </c>
      <c r="O898" s="84" t="s">
        <v>194</v>
      </c>
      <c r="P898" s="84">
        <v>3</v>
      </c>
      <c r="Q898" s="414" t="s">
        <v>9139</v>
      </c>
      <c r="R898" s="396" t="s">
        <v>9140</v>
      </c>
      <c r="S898" s="90" t="s">
        <v>85</v>
      </c>
      <c r="T898" s="801" t="s">
        <v>1376</v>
      </c>
      <c r="U898" s="208" t="s">
        <v>9138</v>
      </c>
      <c r="V898" s="208" t="s">
        <v>1691</v>
      </c>
      <c r="W898" s="208" t="s">
        <v>37</v>
      </c>
      <c r="X898" s="209">
        <v>44413</v>
      </c>
      <c r="Y898" s="208"/>
      <c r="Z898" s="364"/>
      <c r="AA898" s="1109"/>
    </row>
    <row r="899" spans="1:27" s="350" customFormat="1" ht="77.25" thickBot="1" x14ac:dyDescent="0.25">
      <c r="A899" s="336"/>
      <c r="B899" s="196"/>
      <c r="C899" s="96"/>
      <c r="D899" s="566"/>
      <c r="E899" s="566"/>
      <c r="F899" s="147"/>
      <c r="G899" s="96"/>
      <c r="H899" s="96"/>
      <c r="I899" s="123"/>
      <c r="J899" s="89">
        <v>5508</v>
      </c>
      <c r="K899" s="396" t="s">
        <v>9141</v>
      </c>
      <c r="L899" s="265">
        <v>1610282.9622</v>
      </c>
      <c r="M899" s="265">
        <v>5417407.7797999997</v>
      </c>
      <c r="N899" s="84" t="s">
        <v>9142</v>
      </c>
      <c r="O899" s="84" t="s">
        <v>194</v>
      </c>
      <c r="P899" s="84">
        <v>1</v>
      </c>
      <c r="Q899" s="84" t="s">
        <v>9143</v>
      </c>
      <c r="R899" s="396" t="s">
        <v>9140</v>
      </c>
      <c r="S899" s="90" t="s">
        <v>16</v>
      </c>
      <c r="T899" s="801" t="s">
        <v>1376</v>
      </c>
      <c r="U899" s="208" t="s">
        <v>9144</v>
      </c>
      <c r="V899" s="208" t="s">
        <v>9145</v>
      </c>
      <c r="W899" s="208" t="s">
        <v>37</v>
      </c>
      <c r="X899" s="209">
        <v>44413</v>
      </c>
      <c r="Y899" s="208"/>
      <c r="Z899" s="364"/>
      <c r="AA899" s="1109"/>
    </row>
    <row r="900" spans="1:27" ht="39.75" thickBot="1" x14ac:dyDescent="0.3">
      <c r="A900" s="807" t="s">
        <v>2753</v>
      </c>
      <c r="B900" s="349" t="s">
        <v>6827</v>
      </c>
      <c r="C900" s="157">
        <v>262</v>
      </c>
      <c r="D900" s="592" t="s">
        <v>57</v>
      </c>
      <c r="E900" s="592" t="s">
        <v>53</v>
      </c>
      <c r="F900" s="158" t="s">
        <v>9121</v>
      </c>
      <c r="G900" s="158" t="s">
        <v>4996</v>
      </c>
      <c r="H900" s="157"/>
      <c r="I900" s="1029"/>
      <c r="J900" s="425">
        <v>5497</v>
      </c>
      <c r="K900" s="472" t="s">
        <v>9099</v>
      </c>
      <c r="L900" s="934">
        <v>1934809.3991</v>
      </c>
      <c r="M900" s="934">
        <v>5747016.3399999999</v>
      </c>
      <c r="N900" s="248" t="s">
        <v>9107</v>
      </c>
      <c r="O900" s="248" t="s">
        <v>2047</v>
      </c>
      <c r="P900" s="248">
        <v>1</v>
      </c>
      <c r="Q900" s="248" t="s">
        <v>10077</v>
      </c>
      <c r="R900" s="472" t="s">
        <v>9111</v>
      </c>
      <c r="S900" s="427" t="s">
        <v>85</v>
      </c>
      <c r="T900" s="838" t="s">
        <v>9112</v>
      </c>
      <c r="U900" s="92" t="s">
        <v>9114</v>
      </c>
      <c r="V900" s="92" t="s">
        <v>4859</v>
      </c>
      <c r="W900" s="92" t="s">
        <v>37</v>
      </c>
      <c r="X900" s="93">
        <v>44412</v>
      </c>
      <c r="Y900" s="92"/>
      <c r="Z900" s="368"/>
      <c r="AA900" s="1108"/>
    </row>
    <row r="901" spans="1:27" ht="39.75" thickBot="1" x14ac:dyDescent="0.3">
      <c r="A901" s="809"/>
      <c r="B901" s="174"/>
      <c r="C901" s="165"/>
      <c r="D901" s="574"/>
      <c r="E901" s="574"/>
      <c r="F901" s="166"/>
      <c r="G901" s="165"/>
      <c r="H901" s="165"/>
      <c r="I901" s="1025"/>
      <c r="J901" s="425">
        <v>5498</v>
      </c>
      <c r="K901" s="472" t="s">
        <v>9100</v>
      </c>
      <c r="L901" s="934">
        <v>1937121.0068999999</v>
      </c>
      <c r="M901" s="934">
        <v>5763733.5067999996</v>
      </c>
      <c r="N901" s="248" t="s">
        <v>4501</v>
      </c>
      <c r="O901" s="248" t="s">
        <v>2047</v>
      </c>
      <c r="P901" s="248">
        <v>1</v>
      </c>
      <c r="Q901" s="248" t="s">
        <v>10078</v>
      </c>
      <c r="R901" s="472" t="s">
        <v>9111</v>
      </c>
      <c r="S901" s="427" t="s">
        <v>85</v>
      </c>
      <c r="T901" s="838" t="s">
        <v>9112</v>
      </c>
      <c r="U901" s="92" t="s">
        <v>9115</v>
      </c>
      <c r="V901" s="92" t="s">
        <v>4859</v>
      </c>
      <c r="W901" s="92" t="s">
        <v>37</v>
      </c>
      <c r="X901" s="93">
        <v>44412</v>
      </c>
      <c r="Y901" s="92"/>
      <c r="Z901" s="368"/>
      <c r="AA901" s="1108"/>
    </row>
    <row r="902" spans="1:27" s="352" customFormat="1" ht="90" thickBot="1" x14ac:dyDescent="0.25">
      <c r="A902" s="341" t="s">
        <v>7669</v>
      </c>
      <c r="B902" s="181" t="s">
        <v>7669</v>
      </c>
      <c r="C902" s="125">
        <v>316</v>
      </c>
      <c r="D902" s="585" t="s">
        <v>53</v>
      </c>
      <c r="E902" s="585" t="s">
        <v>52</v>
      </c>
      <c r="F902" s="125" t="s">
        <v>567</v>
      </c>
      <c r="G902" s="125" t="s">
        <v>1972</v>
      </c>
      <c r="H902" s="585"/>
      <c r="I902" s="247"/>
      <c r="J902" s="254">
        <v>1355</v>
      </c>
      <c r="K902" s="355" t="s">
        <v>8052</v>
      </c>
      <c r="L902" s="911">
        <v>1873370.2782000001</v>
      </c>
      <c r="M902" s="911">
        <v>5514632.2148000002</v>
      </c>
      <c r="N902" s="841" t="s">
        <v>6543</v>
      </c>
      <c r="O902" s="125" t="s">
        <v>194</v>
      </c>
      <c r="P902" s="125"/>
      <c r="Q902" s="394" t="s">
        <v>2146</v>
      </c>
      <c r="R902" s="355" t="s">
        <v>8049</v>
      </c>
      <c r="S902" s="134" t="s">
        <v>85</v>
      </c>
      <c r="T902" s="833" t="s">
        <v>8053</v>
      </c>
      <c r="U902" s="92" t="s">
        <v>8054</v>
      </c>
      <c r="V902" s="342" t="s">
        <v>1682</v>
      </c>
      <c r="W902" s="834" t="s">
        <v>1380</v>
      </c>
      <c r="X902" s="93">
        <v>44364</v>
      </c>
      <c r="Y902" s="92"/>
      <c r="Z902" s="93">
        <v>44364</v>
      </c>
      <c r="AA902" s="1108" t="s">
        <v>37</v>
      </c>
    </row>
    <row r="903" spans="1:27" s="352" customFormat="1" ht="90" thickBot="1" x14ac:dyDescent="0.25">
      <c r="A903" s="339"/>
      <c r="B903" s="116"/>
      <c r="C903" s="95"/>
      <c r="D903" s="567"/>
      <c r="E903" s="567"/>
      <c r="F903" s="95"/>
      <c r="G903" s="95"/>
      <c r="H903" s="567"/>
      <c r="I903" s="122"/>
      <c r="J903" s="110">
        <v>1363</v>
      </c>
      <c r="K903" s="396" t="s">
        <v>8055</v>
      </c>
      <c r="L903" s="265">
        <v>1873405.7567</v>
      </c>
      <c r="M903" s="265">
        <v>5514689.5614999998</v>
      </c>
      <c r="N903" s="842" t="s">
        <v>1454</v>
      </c>
      <c r="O903" s="84" t="s">
        <v>194</v>
      </c>
      <c r="P903" s="84"/>
      <c r="Q903" s="84" t="s">
        <v>6752</v>
      </c>
      <c r="R903" s="396" t="s">
        <v>8049</v>
      </c>
      <c r="S903" s="90" t="s">
        <v>85</v>
      </c>
      <c r="T903" s="833" t="s">
        <v>8053</v>
      </c>
      <c r="U903" s="92" t="s">
        <v>8054</v>
      </c>
      <c r="V903" s="342" t="s">
        <v>1682</v>
      </c>
      <c r="W903" s="834" t="s">
        <v>1380</v>
      </c>
      <c r="X903" s="93">
        <v>44364</v>
      </c>
      <c r="Y903" s="92"/>
      <c r="Z903" s="93">
        <v>44364</v>
      </c>
      <c r="AA903" s="1108" t="s">
        <v>37</v>
      </c>
    </row>
    <row r="904" spans="1:27" s="350" customFormat="1" ht="51.75" thickBot="1" x14ac:dyDescent="0.25">
      <c r="A904" s="339"/>
      <c r="B904" s="116"/>
      <c r="C904" s="95"/>
      <c r="D904" s="567"/>
      <c r="E904" s="567"/>
      <c r="F904" s="146"/>
      <c r="G904" s="95"/>
      <c r="H904" s="95"/>
      <c r="I904" s="122"/>
      <c r="J904" s="84">
        <v>5380</v>
      </c>
      <c r="K904" s="449" t="s">
        <v>8648</v>
      </c>
      <c r="L904" s="265">
        <v>1872707.4985</v>
      </c>
      <c r="M904" s="265">
        <v>5517692.6385000004</v>
      </c>
      <c r="N904" s="991" t="s">
        <v>8657</v>
      </c>
      <c r="O904" s="109" t="s">
        <v>61</v>
      </c>
      <c r="P904" s="109" t="s">
        <v>419</v>
      </c>
      <c r="Q904" s="265" t="s">
        <v>8665</v>
      </c>
      <c r="R904" s="396" t="s">
        <v>8595</v>
      </c>
      <c r="S904" s="343" t="s">
        <v>85</v>
      </c>
      <c r="T904" s="833" t="s">
        <v>8589</v>
      </c>
      <c r="U904" s="94" t="s">
        <v>8676</v>
      </c>
      <c r="V904" s="94" t="s">
        <v>8637</v>
      </c>
      <c r="W904" s="94" t="s">
        <v>37</v>
      </c>
      <c r="X904" s="834">
        <v>44398</v>
      </c>
      <c r="Y904" s="208"/>
      <c r="Z904" s="364"/>
      <c r="AA904" s="1109"/>
    </row>
    <row r="905" spans="1:27" s="350" customFormat="1" ht="39" thickBot="1" x14ac:dyDescent="0.25">
      <c r="A905" s="339"/>
      <c r="B905" s="116"/>
      <c r="C905" s="95"/>
      <c r="D905" s="567"/>
      <c r="E905" s="567"/>
      <c r="F905" s="146"/>
      <c r="G905" s="95"/>
      <c r="H905" s="95"/>
      <c r="I905" s="122"/>
      <c r="J905" s="84">
        <v>5381</v>
      </c>
      <c r="K905" s="449" t="s">
        <v>8649</v>
      </c>
      <c r="L905" s="265">
        <v>1872106.9919</v>
      </c>
      <c r="M905" s="265">
        <v>5512990.4466000004</v>
      </c>
      <c r="N905" s="991" t="s">
        <v>8658</v>
      </c>
      <c r="O905" s="109" t="s">
        <v>61</v>
      </c>
      <c r="P905" s="109" t="s">
        <v>419</v>
      </c>
      <c r="Q905" s="265" t="s">
        <v>8668</v>
      </c>
      <c r="R905" s="396" t="s">
        <v>8595</v>
      </c>
      <c r="S905" s="343" t="s">
        <v>16</v>
      </c>
      <c r="T905" s="833" t="s">
        <v>8589</v>
      </c>
      <c r="U905" s="94" t="s">
        <v>8673</v>
      </c>
      <c r="V905" s="94" t="s">
        <v>8637</v>
      </c>
      <c r="W905" s="94" t="s">
        <v>37</v>
      </c>
      <c r="X905" s="834">
        <v>44398</v>
      </c>
      <c r="Y905" s="208"/>
      <c r="Z905" s="364"/>
      <c r="AA905" s="1109"/>
    </row>
    <row r="906" spans="1:27" s="350" customFormat="1" ht="51.75" thickBot="1" x14ac:dyDescent="0.25">
      <c r="A906" s="339"/>
      <c r="B906" s="116"/>
      <c r="C906" s="95"/>
      <c r="D906" s="567"/>
      <c r="E906" s="567"/>
      <c r="F906" s="146"/>
      <c r="G906" s="95"/>
      <c r="H906" s="95"/>
      <c r="I906" s="122"/>
      <c r="J906" s="84">
        <v>5382</v>
      </c>
      <c r="K906" s="449" t="s">
        <v>8650</v>
      </c>
      <c r="L906" s="265">
        <v>1871795.1636000001</v>
      </c>
      <c r="M906" s="265">
        <v>5513100.2604</v>
      </c>
      <c r="N906" s="991" t="s">
        <v>8674</v>
      </c>
      <c r="O906" s="109" t="s">
        <v>61</v>
      </c>
      <c r="P906" s="109" t="s">
        <v>419</v>
      </c>
      <c r="Q906" s="265" t="s">
        <v>8675</v>
      </c>
      <c r="R906" s="396" t="s">
        <v>8672</v>
      </c>
      <c r="S906" s="343" t="s">
        <v>16</v>
      </c>
      <c r="T906" s="833" t="s">
        <v>5708</v>
      </c>
      <c r="U906" s="94" t="s">
        <v>8673</v>
      </c>
      <c r="V906" s="94" t="s">
        <v>8637</v>
      </c>
      <c r="W906" s="94" t="s">
        <v>37</v>
      </c>
      <c r="X906" s="834">
        <v>44398</v>
      </c>
      <c r="Y906" s="208"/>
      <c r="Z906" s="364"/>
      <c r="AA906" s="1109"/>
    </row>
    <row r="907" spans="1:27" s="350" customFormat="1" ht="51.75" thickBot="1" x14ac:dyDescent="0.25">
      <c r="A907" s="339"/>
      <c r="B907" s="116"/>
      <c r="C907" s="95"/>
      <c r="D907" s="567"/>
      <c r="E907" s="567"/>
      <c r="F907" s="146"/>
      <c r="G907" s="95"/>
      <c r="H907" s="95"/>
      <c r="I907" s="122"/>
      <c r="J907" s="84">
        <v>5383</v>
      </c>
      <c r="K907" s="449" t="s">
        <v>8651</v>
      </c>
      <c r="L907" s="265">
        <v>1874608.4035</v>
      </c>
      <c r="M907" s="265">
        <v>5518092.7570000002</v>
      </c>
      <c r="N907" s="991" t="s">
        <v>8659</v>
      </c>
      <c r="O907" s="109" t="s">
        <v>61</v>
      </c>
      <c r="P907" s="109" t="s">
        <v>419</v>
      </c>
      <c r="Q907" s="265" t="s">
        <v>8666</v>
      </c>
      <c r="R907" s="396" t="s">
        <v>8595</v>
      </c>
      <c r="S907" s="343" t="s">
        <v>85</v>
      </c>
      <c r="T907" s="833" t="s">
        <v>401</v>
      </c>
      <c r="U907" s="94" t="s">
        <v>8677</v>
      </c>
      <c r="V907" s="94" t="s">
        <v>8637</v>
      </c>
      <c r="W907" s="94" t="s">
        <v>37</v>
      </c>
      <c r="X907" s="834">
        <v>44398</v>
      </c>
      <c r="Y907" s="208"/>
      <c r="Z907" s="364"/>
      <c r="AA907" s="1109"/>
    </row>
    <row r="908" spans="1:27" s="350" customFormat="1" ht="51.75" thickBot="1" x14ac:dyDescent="0.25">
      <c r="A908" s="339"/>
      <c r="B908" s="116"/>
      <c r="C908" s="95"/>
      <c r="D908" s="567"/>
      <c r="E908" s="567"/>
      <c r="F908" s="146"/>
      <c r="G908" s="95"/>
      <c r="H908" s="95"/>
      <c r="I908" s="122"/>
      <c r="J908" s="84">
        <v>5384</v>
      </c>
      <c r="K908" s="449" t="s">
        <v>8652</v>
      </c>
      <c r="L908" s="265">
        <v>1874408.3091</v>
      </c>
      <c r="M908" s="265">
        <v>5518092.7651000004</v>
      </c>
      <c r="N908" s="991" t="s">
        <v>8660</v>
      </c>
      <c r="O908" s="109" t="s">
        <v>61</v>
      </c>
      <c r="P908" s="109" t="s">
        <v>419</v>
      </c>
      <c r="Q908" s="265" t="s">
        <v>8669</v>
      </c>
      <c r="R908" s="396" t="s">
        <v>8595</v>
      </c>
      <c r="S908" s="343" t="s">
        <v>85</v>
      </c>
      <c r="T908" s="833" t="s">
        <v>24</v>
      </c>
      <c r="U908" s="94" t="s">
        <v>8677</v>
      </c>
      <c r="V908" s="94" t="s">
        <v>8637</v>
      </c>
      <c r="W908" s="94" t="s">
        <v>37</v>
      </c>
      <c r="X908" s="834">
        <v>44398</v>
      </c>
      <c r="Y908" s="208"/>
      <c r="Z908" s="364"/>
      <c r="AA908" s="1109"/>
    </row>
    <row r="909" spans="1:27" s="350" customFormat="1" ht="39" thickBot="1" x14ac:dyDescent="0.25">
      <c r="A909" s="339"/>
      <c r="B909" s="116"/>
      <c r="C909" s="95"/>
      <c r="D909" s="567"/>
      <c r="E909" s="567"/>
      <c r="F909" s="146"/>
      <c r="G909" s="95"/>
      <c r="H909" s="95"/>
      <c r="I909" s="122"/>
      <c r="J909" s="84">
        <v>5385</v>
      </c>
      <c r="K909" s="449" t="s">
        <v>8653</v>
      </c>
      <c r="L909" s="265">
        <v>1874408.3049999999</v>
      </c>
      <c r="M909" s="265">
        <v>5517992.7164000003</v>
      </c>
      <c r="N909" s="991" t="s">
        <v>8661</v>
      </c>
      <c r="O909" s="109" t="s">
        <v>194</v>
      </c>
      <c r="P909" s="109">
        <v>1</v>
      </c>
      <c r="Q909" s="265" t="s">
        <v>2756</v>
      </c>
      <c r="R909" s="396" t="s">
        <v>8049</v>
      </c>
      <c r="S909" s="343" t="s">
        <v>85</v>
      </c>
      <c r="T909" s="833" t="s">
        <v>341</v>
      </c>
      <c r="U909" s="94" t="s">
        <v>8678</v>
      </c>
      <c r="V909" s="94" t="s">
        <v>8637</v>
      </c>
      <c r="W909" s="94" t="s">
        <v>37</v>
      </c>
      <c r="X909" s="834">
        <v>44398</v>
      </c>
      <c r="Y909" s="208"/>
      <c r="Z909" s="364"/>
      <c r="AA909" s="1109"/>
    </row>
    <row r="910" spans="1:27" s="350" customFormat="1" ht="51.75" thickBot="1" x14ac:dyDescent="0.25">
      <c r="A910" s="339"/>
      <c r="B910" s="116"/>
      <c r="C910" s="95"/>
      <c r="D910" s="567"/>
      <c r="E910" s="567"/>
      <c r="F910" s="146"/>
      <c r="G910" s="95"/>
      <c r="H910" s="95"/>
      <c r="I910" s="122"/>
      <c r="J910" s="84">
        <v>5386</v>
      </c>
      <c r="K910" s="449" t="s">
        <v>8654</v>
      </c>
      <c r="L910" s="265">
        <v>1874208.2024000001</v>
      </c>
      <c r="M910" s="265">
        <v>5517792.6272999998</v>
      </c>
      <c r="N910" s="991" t="s">
        <v>8662</v>
      </c>
      <c r="O910" s="109" t="s">
        <v>61</v>
      </c>
      <c r="P910" s="109" t="s">
        <v>419</v>
      </c>
      <c r="Q910" s="265" t="s">
        <v>8667</v>
      </c>
      <c r="R910" s="396" t="s">
        <v>8595</v>
      </c>
      <c r="S910" s="343" t="s">
        <v>85</v>
      </c>
      <c r="T910" s="833" t="s">
        <v>401</v>
      </c>
      <c r="U910" s="94" t="s">
        <v>8679</v>
      </c>
      <c r="V910" s="94" t="s">
        <v>8637</v>
      </c>
      <c r="W910" s="94" t="s">
        <v>37</v>
      </c>
      <c r="X910" s="834">
        <v>44398</v>
      </c>
      <c r="Y910" s="208"/>
      <c r="Z910" s="364"/>
      <c r="AA910" s="1109"/>
    </row>
    <row r="911" spans="1:27" s="350" customFormat="1" ht="51.75" thickBot="1" x14ac:dyDescent="0.25">
      <c r="A911" s="339"/>
      <c r="B911" s="116"/>
      <c r="C911" s="95"/>
      <c r="D911" s="567"/>
      <c r="E911" s="567"/>
      <c r="F911" s="146"/>
      <c r="G911" s="95"/>
      <c r="H911" s="95"/>
      <c r="I911" s="122"/>
      <c r="J911" s="84">
        <v>5387</v>
      </c>
      <c r="K911" s="449" t="s">
        <v>8655</v>
      </c>
      <c r="L911" s="265">
        <v>1873190.5517</v>
      </c>
      <c r="M911" s="265">
        <v>5514181.3360000001</v>
      </c>
      <c r="N911" s="991" t="s">
        <v>8663</v>
      </c>
      <c r="O911" s="109" t="s">
        <v>61</v>
      </c>
      <c r="P911" s="109" t="s">
        <v>419</v>
      </c>
      <c r="Q911" s="265" t="s">
        <v>8670</v>
      </c>
      <c r="R911" s="396" t="s">
        <v>8595</v>
      </c>
      <c r="S911" s="343" t="s">
        <v>85</v>
      </c>
      <c r="T911" s="833" t="s">
        <v>5708</v>
      </c>
      <c r="U911" s="94" t="s">
        <v>8677</v>
      </c>
      <c r="V911" s="94" t="s">
        <v>8637</v>
      </c>
      <c r="W911" s="94" t="s">
        <v>37</v>
      </c>
      <c r="X911" s="834">
        <v>44398</v>
      </c>
      <c r="Y911" s="208"/>
      <c r="Z911" s="364"/>
      <c r="AA911" s="1109"/>
    </row>
    <row r="912" spans="1:27" s="350" customFormat="1" ht="51.75" thickBot="1" x14ac:dyDescent="0.25">
      <c r="A912" s="336"/>
      <c r="B912" s="196"/>
      <c r="C912" s="96"/>
      <c r="D912" s="566"/>
      <c r="E912" s="566"/>
      <c r="F912" s="147"/>
      <c r="G912" s="96"/>
      <c r="H912" s="96"/>
      <c r="I912" s="123"/>
      <c r="J912" s="84">
        <v>5388</v>
      </c>
      <c r="K912" s="449" t="s">
        <v>8656</v>
      </c>
      <c r="L912" s="265">
        <v>1872694.0754</v>
      </c>
      <c r="M912" s="265">
        <v>5516743.6771</v>
      </c>
      <c r="N912" s="991" t="s">
        <v>8664</v>
      </c>
      <c r="O912" s="109" t="s">
        <v>61</v>
      </c>
      <c r="P912" s="109" t="s">
        <v>419</v>
      </c>
      <c r="Q912" s="265" t="s">
        <v>8671</v>
      </c>
      <c r="R912" s="396" t="s">
        <v>8595</v>
      </c>
      <c r="S912" s="343" t="s">
        <v>85</v>
      </c>
      <c r="T912" s="833" t="s">
        <v>341</v>
      </c>
      <c r="U912" s="94" t="s">
        <v>8677</v>
      </c>
      <c r="V912" s="94" t="s">
        <v>8637</v>
      </c>
      <c r="W912" s="94" t="s">
        <v>37</v>
      </c>
      <c r="X912" s="834">
        <v>44398</v>
      </c>
      <c r="Y912" s="208"/>
      <c r="Z912" s="364"/>
      <c r="AA912" s="1109"/>
    </row>
    <row r="913" spans="1:27" s="869" customFormat="1" ht="103.5" thickBot="1" x14ac:dyDescent="0.3">
      <c r="A913" s="487" t="s">
        <v>1739</v>
      </c>
      <c r="B913" s="128" t="s">
        <v>6828</v>
      </c>
      <c r="C913" s="72">
        <v>282</v>
      </c>
      <c r="D913" s="586" t="s">
        <v>53</v>
      </c>
      <c r="E913" s="586" t="s">
        <v>52</v>
      </c>
      <c r="F913" s="72" t="s">
        <v>567</v>
      </c>
      <c r="G913" s="72" t="s">
        <v>1972</v>
      </c>
      <c r="H913" s="586"/>
      <c r="I913" s="873"/>
      <c r="J913" s="72">
        <v>1338</v>
      </c>
      <c r="K913" s="73" t="s">
        <v>8056</v>
      </c>
      <c r="L913" s="942">
        <v>1801736.2357999999</v>
      </c>
      <c r="M913" s="914">
        <v>5452800.9168999996</v>
      </c>
      <c r="N913" s="129" t="s">
        <v>8057</v>
      </c>
      <c r="O913" s="129" t="s">
        <v>194</v>
      </c>
      <c r="P913" s="72"/>
      <c r="Q913" s="732" t="s">
        <v>8949</v>
      </c>
      <c r="R913" s="73" t="s">
        <v>8058</v>
      </c>
      <c r="S913" s="74" t="s">
        <v>10</v>
      </c>
      <c r="T913" s="833" t="s">
        <v>604</v>
      </c>
      <c r="U913" s="94" t="s">
        <v>10153</v>
      </c>
      <c r="V913" s="92" t="s">
        <v>1759</v>
      </c>
      <c r="W913" s="834" t="s">
        <v>1380</v>
      </c>
      <c r="X913" s="93">
        <v>44491</v>
      </c>
      <c r="Y913" s="92"/>
      <c r="Z913" s="93">
        <v>44319</v>
      </c>
      <c r="AA913" s="1108" t="s">
        <v>37</v>
      </c>
    </row>
    <row r="914" spans="1:27" s="869" customFormat="1" ht="103.5" thickBot="1" x14ac:dyDescent="0.3">
      <c r="A914" s="488"/>
      <c r="B914" s="131"/>
      <c r="C914" s="75"/>
      <c r="D914" s="568"/>
      <c r="E914" s="568"/>
      <c r="F914" s="75"/>
      <c r="G914" s="75"/>
      <c r="H914" s="568"/>
      <c r="I914" s="875"/>
      <c r="J914" s="72">
        <v>1339</v>
      </c>
      <c r="K914" s="73" t="s">
        <v>8059</v>
      </c>
      <c r="L914" s="942">
        <v>1801830.0952000001</v>
      </c>
      <c r="M914" s="914">
        <v>5452868.801</v>
      </c>
      <c r="N914" s="129" t="s">
        <v>8060</v>
      </c>
      <c r="O914" s="129" t="s">
        <v>5</v>
      </c>
      <c r="P914" s="72"/>
      <c r="Q914" s="72" t="s">
        <v>8948</v>
      </c>
      <c r="R914" s="73" t="s">
        <v>8061</v>
      </c>
      <c r="S914" s="74" t="s">
        <v>10</v>
      </c>
      <c r="T914" s="833" t="s">
        <v>401</v>
      </c>
      <c r="U914" s="94" t="s">
        <v>10153</v>
      </c>
      <c r="V914" s="92" t="s">
        <v>1759</v>
      </c>
      <c r="W914" s="834" t="s">
        <v>1380</v>
      </c>
      <c r="X914" s="93">
        <v>44491</v>
      </c>
      <c r="Y914" s="92"/>
      <c r="Z914" s="93">
        <v>44319</v>
      </c>
      <c r="AA914" s="1108" t="s">
        <v>37</v>
      </c>
    </row>
    <row r="915" spans="1:27" s="869" customFormat="1" ht="103.5" thickBot="1" x14ac:dyDescent="0.3">
      <c r="A915" s="488"/>
      <c r="B915" s="131"/>
      <c r="C915" s="75"/>
      <c r="D915" s="568"/>
      <c r="E915" s="568"/>
      <c r="F915" s="75"/>
      <c r="G915" s="75"/>
      <c r="H915" s="568"/>
      <c r="I915" s="875"/>
      <c r="J915" s="72">
        <v>1340</v>
      </c>
      <c r="K915" s="73" t="s">
        <v>8062</v>
      </c>
      <c r="L915" s="942">
        <v>1801825.9364</v>
      </c>
      <c r="M915" s="914">
        <v>5452864.2432000004</v>
      </c>
      <c r="N915" s="129" t="s">
        <v>8063</v>
      </c>
      <c r="O915" s="129" t="s">
        <v>5</v>
      </c>
      <c r="P915" s="72"/>
      <c r="Q915" s="72" t="s">
        <v>8947</v>
      </c>
      <c r="R915" s="73" t="s">
        <v>8061</v>
      </c>
      <c r="S915" s="74" t="s">
        <v>10</v>
      </c>
      <c r="T915" s="833" t="s">
        <v>401</v>
      </c>
      <c r="U915" s="94" t="s">
        <v>10153</v>
      </c>
      <c r="V915" s="92" t="s">
        <v>1759</v>
      </c>
      <c r="W915" s="834" t="s">
        <v>1380</v>
      </c>
      <c r="X915" s="93">
        <v>44491</v>
      </c>
      <c r="Y915" s="92"/>
      <c r="Z915" s="93">
        <v>44319</v>
      </c>
      <c r="AA915" s="1108" t="s">
        <v>37</v>
      </c>
    </row>
    <row r="916" spans="1:27" s="869" customFormat="1" ht="116.25" thickBot="1" x14ac:dyDescent="0.3">
      <c r="A916" s="488"/>
      <c r="B916" s="131"/>
      <c r="C916" s="75"/>
      <c r="D916" s="568"/>
      <c r="E916" s="568"/>
      <c r="F916" s="75"/>
      <c r="G916" s="75"/>
      <c r="H916" s="568"/>
      <c r="I916" s="875"/>
      <c r="J916" s="72">
        <v>1341</v>
      </c>
      <c r="K916" s="73" t="s">
        <v>8064</v>
      </c>
      <c r="L916" s="942">
        <v>1801746.9515</v>
      </c>
      <c r="M916" s="914">
        <v>5452800.6524</v>
      </c>
      <c r="N916" s="129" t="s">
        <v>8065</v>
      </c>
      <c r="O916" s="129" t="s">
        <v>194</v>
      </c>
      <c r="P916" s="72"/>
      <c r="Q916" s="72" t="s">
        <v>8946</v>
      </c>
      <c r="R916" s="73" t="s">
        <v>8058</v>
      </c>
      <c r="S916" s="74" t="s">
        <v>16</v>
      </c>
      <c r="T916" s="833" t="s">
        <v>604</v>
      </c>
      <c r="U916" s="94" t="s">
        <v>10154</v>
      </c>
      <c r="V916" s="92" t="s">
        <v>1759</v>
      </c>
      <c r="W916" s="834" t="s">
        <v>1380</v>
      </c>
      <c r="X916" s="93">
        <v>44491</v>
      </c>
      <c r="Y916" s="92"/>
      <c r="Z916" s="93">
        <v>44319</v>
      </c>
      <c r="AA916" s="1108" t="s">
        <v>37</v>
      </c>
    </row>
    <row r="917" spans="1:27" s="869" customFormat="1" ht="116.25" thickBot="1" x14ac:dyDescent="0.3">
      <c r="A917" s="488"/>
      <c r="B917" s="131"/>
      <c r="C917" s="75"/>
      <c r="D917" s="568"/>
      <c r="E917" s="568"/>
      <c r="F917" s="75"/>
      <c r="G917" s="75"/>
      <c r="H917" s="568"/>
      <c r="I917" s="875"/>
      <c r="J917" s="87">
        <v>1342</v>
      </c>
      <c r="K917" s="360" t="s">
        <v>8066</v>
      </c>
      <c r="L917" s="947">
        <v>1801825.9364</v>
      </c>
      <c r="M917" s="198">
        <v>5452864.2432000004</v>
      </c>
      <c r="N917" s="199" t="s">
        <v>8067</v>
      </c>
      <c r="O917" s="199" t="s">
        <v>5</v>
      </c>
      <c r="P917" s="83"/>
      <c r="Q917" s="83" t="s">
        <v>8945</v>
      </c>
      <c r="R917" s="360" t="s">
        <v>8061</v>
      </c>
      <c r="S917" s="88" t="s">
        <v>16</v>
      </c>
      <c r="T917" s="833" t="s">
        <v>401</v>
      </c>
      <c r="U917" s="94" t="s">
        <v>10155</v>
      </c>
      <c r="V917" s="92" t="s">
        <v>1759</v>
      </c>
      <c r="W917" s="834" t="s">
        <v>1380</v>
      </c>
      <c r="X917" s="93">
        <v>44491</v>
      </c>
      <c r="Y917" s="92"/>
      <c r="Z917" s="93">
        <v>44319</v>
      </c>
      <c r="AA917" s="1108" t="s">
        <v>37</v>
      </c>
    </row>
    <row r="918" spans="1:27" s="869" customFormat="1" ht="180" thickBot="1" x14ac:dyDescent="0.3">
      <c r="A918" s="488"/>
      <c r="B918" s="131"/>
      <c r="C918" s="75"/>
      <c r="D918" s="568"/>
      <c r="E918" s="568"/>
      <c r="F918" s="75"/>
      <c r="G918" s="75"/>
      <c r="H918" s="568"/>
      <c r="I918" s="875"/>
      <c r="J918" s="187">
        <v>1013</v>
      </c>
      <c r="K918" s="73" t="s">
        <v>8068</v>
      </c>
      <c r="L918" s="914">
        <v>1791357.8484</v>
      </c>
      <c r="M918" s="914">
        <v>5443186.2103000004</v>
      </c>
      <c r="N918" s="129" t="s">
        <v>8069</v>
      </c>
      <c r="O918" s="129" t="s">
        <v>61</v>
      </c>
      <c r="P918" s="732" t="s">
        <v>7822</v>
      </c>
      <c r="Q918" s="72" t="s">
        <v>8070</v>
      </c>
      <c r="R918" s="73" t="s">
        <v>8071</v>
      </c>
      <c r="S918" s="74" t="s">
        <v>10</v>
      </c>
      <c r="T918" s="833" t="s">
        <v>8072</v>
      </c>
      <c r="U918" s="94" t="s">
        <v>8073</v>
      </c>
      <c r="V918" s="92" t="s">
        <v>8093</v>
      </c>
      <c r="W918" s="834" t="s">
        <v>1380</v>
      </c>
      <c r="X918" s="93">
        <v>44294</v>
      </c>
      <c r="Y918" s="92"/>
      <c r="Z918" s="93">
        <v>44319</v>
      </c>
      <c r="AA918" s="1108" t="s">
        <v>37</v>
      </c>
    </row>
    <row r="919" spans="1:27" s="869" customFormat="1" ht="103.5" thickBot="1" x14ac:dyDescent="0.3">
      <c r="A919" s="488"/>
      <c r="B919" s="131"/>
      <c r="C919" s="75"/>
      <c r="D919" s="568"/>
      <c r="E919" s="568"/>
      <c r="F919" s="75"/>
      <c r="G919" s="75"/>
      <c r="H919" s="568"/>
      <c r="I919" s="875"/>
      <c r="J919" s="187">
        <v>1014</v>
      </c>
      <c r="K919" s="73" t="s">
        <v>8074</v>
      </c>
      <c r="L919" s="914">
        <v>1791624.6546</v>
      </c>
      <c r="M919" s="914">
        <v>5443395.0729</v>
      </c>
      <c r="N919" s="129" t="s">
        <v>8075</v>
      </c>
      <c r="O919" s="129" t="s">
        <v>61</v>
      </c>
      <c r="P919" s="129" t="s">
        <v>419</v>
      </c>
      <c r="Q919" s="72" t="s">
        <v>8076</v>
      </c>
      <c r="R919" s="73" t="s">
        <v>8071</v>
      </c>
      <c r="S919" s="74" t="s">
        <v>16</v>
      </c>
      <c r="T919" s="833" t="s">
        <v>8077</v>
      </c>
      <c r="U919" s="92" t="s">
        <v>8078</v>
      </c>
      <c r="V919" s="92" t="s">
        <v>8093</v>
      </c>
      <c r="W919" s="834" t="s">
        <v>1380</v>
      </c>
      <c r="X919" s="93">
        <v>44294</v>
      </c>
      <c r="Y919" s="92"/>
      <c r="Z919" s="93">
        <v>44319</v>
      </c>
      <c r="AA919" s="1108" t="s">
        <v>37</v>
      </c>
    </row>
    <row r="920" spans="1:27" s="869" customFormat="1" ht="141.75" thickBot="1" x14ac:dyDescent="0.3">
      <c r="A920" s="488"/>
      <c r="B920" s="131"/>
      <c r="C920" s="75"/>
      <c r="D920" s="568"/>
      <c r="E920" s="568"/>
      <c r="F920" s="75"/>
      <c r="G920" s="75"/>
      <c r="H920" s="568"/>
      <c r="I920" s="875"/>
      <c r="J920" s="187">
        <v>1015</v>
      </c>
      <c r="K920" s="73" t="s">
        <v>8079</v>
      </c>
      <c r="L920" s="914">
        <v>1791249.2897000001</v>
      </c>
      <c r="M920" s="914">
        <v>5443101.2263000002</v>
      </c>
      <c r="N920" s="129" t="s">
        <v>8080</v>
      </c>
      <c r="O920" s="129" t="s">
        <v>61</v>
      </c>
      <c r="P920" s="72">
        <v>1</v>
      </c>
      <c r="Q920" s="72" t="s">
        <v>8081</v>
      </c>
      <c r="R920" s="73" t="s">
        <v>8071</v>
      </c>
      <c r="S920" s="72" t="s">
        <v>16</v>
      </c>
      <c r="T920" s="838" t="s">
        <v>58</v>
      </c>
      <c r="U920" s="92" t="s">
        <v>8082</v>
      </c>
      <c r="V920" s="92" t="s">
        <v>8093</v>
      </c>
      <c r="W920" s="834" t="s">
        <v>1380</v>
      </c>
      <c r="X920" s="93">
        <v>44294</v>
      </c>
      <c r="Y920" s="92"/>
      <c r="Z920" s="93">
        <v>44319</v>
      </c>
      <c r="AA920" s="1108" t="s">
        <v>37</v>
      </c>
    </row>
    <row r="921" spans="1:27" s="869" customFormat="1" ht="78" thickBot="1" x14ac:dyDescent="0.3">
      <c r="A921" s="488"/>
      <c r="B921" s="131"/>
      <c r="C921" s="75"/>
      <c r="D921" s="568"/>
      <c r="E921" s="568"/>
      <c r="F921" s="75"/>
      <c r="G921" s="75"/>
      <c r="H921" s="568"/>
      <c r="I921" s="875"/>
      <c r="J921" s="187">
        <v>1016</v>
      </c>
      <c r="K921" s="73" t="s">
        <v>8083</v>
      </c>
      <c r="L921" s="914">
        <v>1787514.7733</v>
      </c>
      <c r="M921" s="914">
        <v>5439159.2980000004</v>
      </c>
      <c r="N921" s="72" t="s">
        <v>8084</v>
      </c>
      <c r="O921" s="72" t="s">
        <v>5</v>
      </c>
      <c r="P921" s="72">
        <v>1</v>
      </c>
      <c r="Q921" s="72" t="s">
        <v>8085</v>
      </c>
      <c r="R921" s="73" t="s">
        <v>8061</v>
      </c>
      <c r="S921" s="74" t="s">
        <v>16</v>
      </c>
      <c r="T921" s="838" t="s">
        <v>8086</v>
      </c>
      <c r="U921" s="92" t="s">
        <v>8087</v>
      </c>
      <c r="V921" s="92" t="s">
        <v>8093</v>
      </c>
      <c r="W921" s="834" t="s">
        <v>1380</v>
      </c>
      <c r="X921" s="93">
        <v>44294</v>
      </c>
      <c r="Y921" s="92"/>
      <c r="Z921" s="93">
        <v>44319</v>
      </c>
      <c r="AA921" s="1108" t="s">
        <v>37</v>
      </c>
    </row>
    <row r="922" spans="1:27" s="869" customFormat="1" ht="116.25" thickBot="1" x14ac:dyDescent="0.3">
      <c r="A922" s="488"/>
      <c r="B922" s="131"/>
      <c r="C922" s="75"/>
      <c r="D922" s="568"/>
      <c r="E922" s="568"/>
      <c r="F922" s="75"/>
      <c r="G922" s="75"/>
      <c r="H922" s="568"/>
      <c r="I922" s="875"/>
      <c r="J922" s="87">
        <v>1017</v>
      </c>
      <c r="K922" s="360" t="s">
        <v>8088</v>
      </c>
      <c r="L922" s="198">
        <v>1787301.8063000001</v>
      </c>
      <c r="M922" s="198">
        <v>5438891.1983000003</v>
      </c>
      <c r="N922" s="199" t="s">
        <v>8089</v>
      </c>
      <c r="O922" s="199" t="s">
        <v>61</v>
      </c>
      <c r="P922" s="83">
        <v>1</v>
      </c>
      <c r="Q922" s="83" t="s">
        <v>8090</v>
      </c>
      <c r="R922" s="360" t="s">
        <v>8071</v>
      </c>
      <c r="S922" s="88" t="s">
        <v>16</v>
      </c>
      <c r="T922" s="833" t="s">
        <v>8091</v>
      </c>
      <c r="U922" s="92" t="s">
        <v>8092</v>
      </c>
      <c r="V922" s="92" t="s">
        <v>8093</v>
      </c>
      <c r="W922" s="834" t="s">
        <v>1380</v>
      </c>
      <c r="X922" s="93">
        <v>44294</v>
      </c>
      <c r="Y922" s="92"/>
      <c r="Z922" s="93">
        <v>44319</v>
      </c>
      <c r="AA922" s="1108" t="s">
        <v>37</v>
      </c>
    </row>
    <row r="923" spans="1:27" s="869" customFormat="1" ht="65.25" thickBot="1" x14ac:dyDescent="0.3">
      <c r="A923" s="488"/>
      <c r="B923" s="131"/>
      <c r="C923" s="75"/>
      <c r="D923" s="568"/>
      <c r="E923" s="568"/>
      <c r="F923" s="75"/>
      <c r="G923" s="75"/>
      <c r="H923" s="568"/>
      <c r="I923" s="875"/>
      <c r="J923" s="187">
        <v>1343</v>
      </c>
      <c r="K923" s="73" t="s">
        <v>8095</v>
      </c>
      <c r="L923" s="914">
        <v>1798912.1481999999</v>
      </c>
      <c r="M923" s="914">
        <v>5450378.5970000001</v>
      </c>
      <c r="N923" s="129" t="s">
        <v>8096</v>
      </c>
      <c r="O923" s="129" t="s">
        <v>61</v>
      </c>
      <c r="P923" s="72">
        <v>1</v>
      </c>
      <c r="Q923" s="72" t="s">
        <v>8097</v>
      </c>
      <c r="R923" s="73" t="s">
        <v>8071</v>
      </c>
      <c r="S923" s="74" t="s">
        <v>16</v>
      </c>
      <c r="T923" s="838" t="s">
        <v>24</v>
      </c>
      <c r="U923" s="92" t="s">
        <v>8098</v>
      </c>
      <c r="V923" s="92" t="s">
        <v>8093</v>
      </c>
      <c r="W923" s="834" t="s">
        <v>1380</v>
      </c>
      <c r="X923" s="93">
        <v>44319</v>
      </c>
      <c r="Y923" s="92"/>
      <c r="Z923" s="93">
        <v>44319</v>
      </c>
      <c r="AA923" s="1108" t="s">
        <v>37</v>
      </c>
    </row>
    <row r="924" spans="1:27" s="869" customFormat="1" ht="65.25" thickBot="1" x14ac:dyDescent="0.3">
      <c r="A924" s="488"/>
      <c r="B924" s="131"/>
      <c r="C924" s="75"/>
      <c r="D924" s="568"/>
      <c r="E924" s="568"/>
      <c r="F924" s="75"/>
      <c r="G924" s="75"/>
      <c r="H924" s="568"/>
      <c r="I924" s="875"/>
      <c r="J924" s="187">
        <v>1344</v>
      </c>
      <c r="K924" s="73" t="s">
        <v>8099</v>
      </c>
      <c r="L924" s="914">
        <v>1798892.5689999999</v>
      </c>
      <c r="M924" s="914">
        <v>5450361.6635999996</v>
      </c>
      <c r="N924" s="129" t="s">
        <v>8100</v>
      </c>
      <c r="O924" s="129" t="s">
        <v>61</v>
      </c>
      <c r="P924" s="72">
        <v>1</v>
      </c>
      <c r="Q924" s="72" t="s">
        <v>8101</v>
      </c>
      <c r="R924" s="73" t="s">
        <v>8071</v>
      </c>
      <c r="S924" s="74" t="s">
        <v>16</v>
      </c>
      <c r="T924" s="838" t="s">
        <v>24</v>
      </c>
      <c r="U924" s="92" t="s">
        <v>8098</v>
      </c>
      <c r="V924" s="92" t="s">
        <v>8093</v>
      </c>
      <c r="W924" s="834" t="s">
        <v>1380</v>
      </c>
      <c r="X924" s="93">
        <v>44319</v>
      </c>
      <c r="Y924" s="92"/>
      <c r="Z924" s="93">
        <v>44319</v>
      </c>
      <c r="AA924" s="1108" t="s">
        <v>37</v>
      </c>
    </row>
    <row r="925" spans="1:27" s="869" customFormat="1" ht="65.25" thickBot="1" x14ac:dyDescent="0.3">
      <c r="A925" s="488"/>
      <c r="B925" s="131"/>
      <c r="C925" s="75"/>
      <c r="D925" s="568"/>
      <c r="E925" s="568"/>
      <c r="F925" s="75"/>
      <c r="G925" s="75"/>
      <c r="H925" s="568"/>
      <c r="I925" s="875"/>
      <c r="J925" s="187">
        <v>1345</v>
      </c>
      <c r="K925" s="73" t="s">
        <v>8102</v>
      </c>
      <c r="L925" s="914">
        <v>1798849.1773000001</v>
      </c>
      <c r="M925" s="914">
        <v>5450338.9094000002</v>
      </c>
      <c r="N925" s="129" t="s">
        <v>8103</v>
      </c>
      <c r="O925" s="129" t="s">
        <v>61</v>
      </c>
      <c r="P925" s="72">
        <v>1</v>
      </c>
      <c r="Q925" s="72" t="s">
        <v>8104</v>
      </c>
      <c r="R925" s="73" t="s">
        <v>8071</v>
      </c>
      <c r="S925" s="74" t="s">
        <v>16</v>
      </c>
      <c r="T925" s="838" t="s">
        <v>24</v>
      </c>
      <c r="U925" s="92" t="s">
        <v>8098</v>
      </c>
      <c r="V925" s="92" t="s">
        <v>8093</v>
      </c>
      <c r="W925" s="834" t="s">
        <v>1380</v>
      </c>
      <c r="X925" s="93">
        <v>44319</v>
      </c>
      <c r="Y925" s="92"/>
      <c r="Z925" s="93">
        <v>44319</v>
      </c>
      <c r="AA925" s="1108" t="s">
        <v>37</v>
      </c>
    </row>
    <row r="926" spans="1:27" s="869" customFormat="1" ht="39.75" thickBot="1" x14ac:dyDescent="0.3">
      <c r="A926" s="488"/>
      <c r="B926" s="131"/>
      <c r="C926" s="75"/>
      <c r="D926" s="568"/>
      <c r="E926" s="568"/>
      <c r="F926" s="75"/>
      <c r="G926" s="75"/>
      <c r="H926" s="568"/>
      <c r="I926" s="875"/>
      <c r="J926" s="187">
        <v>1347</v>
      </c>
      <c r="K926" s="73" t="s">
        <v>8105</v>
      </c>
      <c r="L926" s="914">
        <v>1798892.0397999999</v>
      </c>
      <c r="M926" s="914">
        <v>5450424.1053999998</v>
      </c>
      <c r="N926" s="129" t="s">
        <v>8106</v>
      </c>
      <c r="O926" s="129" t="s">
        <v>61</v>
      </c>
      <c r="P926" s="72">
        <v>1</v>
      </c>
      <c r="Q926" s="72" t="s">
        <v>8107</v>
      </c>
      <c r="R926" s="73" t="s">
        <v>8071</v>
      </c>
      <c r="S926" s="74" t="s">
        <v>16</v>
      </c>
      <c r="T926" s="838" t="s">
        <v>24</v>
      </c>
      <c r="U926" s="92" t="s">
        <v>8108</v>
      </c>
      <c r="V926" s="92" t="s">
        <v>8093</v>
      </c>
      <c r="W926" s="834" t="s">
        <v>1380</v>
      </c>
      <c r="X926" s="93">
        <v>44319</v>
      </c>
      <c r="Y926" s="92"/>
      <c r="Z926" s="93">
        <v>44319</v>
      </c>
      <c r="AA926" s="1108" t="s">
        <v>37</v>
      </c>
    </row>
    <row r="927" spans="1:27" s="869" customFormat="1" ht="65.25" thickBot="1" x14ac:dyDescent="0.3">
      <c r="A927" s="488"/>
      <c r="B927" s="131"/>
      <c r="C927" s="75"/>
      <c r="D927" s="568"/>
      <c r="E927" s="568"/>
      <c r="F927" s="75"/>
      <c r="G927" s="75"/>
      <c r="H927" s="568"/>
      <c r="I927" s="875"/>
      <c r="J927" s="187">
        <v>1348</v>
      </c>
      <c r="K927" s="73" t="s">
        <v>8109</v>
      </c>
      <c r="L927" s="914">
        <v>1798873.5190000001</v>
      </c>
      <c r="M927" s="914">
        <v>5450402.9386999998</v>
      </c>
      <c r="N927" s="129" t="s">
        <v>8106</v>
      </c>
      <c r="O927" s="129" t="s">
        <v>61</v>
      </c>
      <c r="P927" s="72">
        <v>1</v>
      </c>
      <c r="Q927" s="72" t="s">
        <v>8107</v>
      </c>
      <c r="R927" s="73" t="s">
        <v>8071</v>
      </c>
      <c r="S927" s="74" t="s">
        <v>16</v>
      </c>
      <c r="T927" s="838" t="s">
        <v>24</v>
      </c>
      <c r="U927" s="92" t="s">
        <v>8110</v>
      </c>
      <c r="V927" s="92" t="s">
        <v>8093</v>
      </c>
      <c r="W927" s="834" t="s">
        <v>1380</v>
      </c>
      <c r="X927" s="93">
        <v>44319</v>
      </c>
      <c r="Y927" s="92"/>
      <c r="Z927" s="93">
        <v>44319</v>
      </c>
      <c r="AA927" s="1108" t="s">
        <v>37</v>
      </c>
    </row>
    <row r="928" spans="1:27" s="869" customFormat="1" ht="65.25" thickBot="1" x14ac:dyDescent="0.3">
      <c r="A928" s="488"/>
      <c r="B928" s="131"/>
      <c r="C928" s="75"/>
      <c r="D928" s="568"/>
      <c r="E928" s="568"/>
      <c r="F928" s="75"/>
      <c r="G928" s="75"/>
      <c r="H928" s="568"/>
      <c r="I928" s="875"/>
      <c r="J928" s="87">
        <v>1349</v>
      </c>
      <c r="K928" s="360" t="s">
        <v>8111</v>
      </c>
      <c r="L928" s="198">
        <v>1798832.7731000001</v>
      </c>
      <c r="M928" s="198">
        <v>5450362.7219000002</v>
      </c>
      <c r="N928" s="199" t="s">
        <v>8112</v>
      </c>
      <c r="O928" s="199" t="s">
        <v>61</v>
      </c>
      <c r="P928" s="83">
        <v>1</v>
      </c>
      <c r="Q928" s="83" t="s">
        <v>8107</v>
      </c>
      <c r="R928" s="360" t="s">
        <v>8071</v>
      </c>
      <c r="S928" s="88" t="s">
        <v>16</v>
      </c>
      <c r="T928" s="838" t="s">
        <v>24</v>
      </c>
      <c r="U928" s="92" t="s">
        <v>8110</v>
      </c>
      <c r="V928" s="92" t="s">
        <v>8093</v>
      </c>
      <c r="W928" s="834" t="s">
        <v>1380</v>
      </c>
      <c r="X928" s="93">
        <v>44319</v>
      </c>
      <c r="Y928" s="92"/>
      <c r="Z928" s="93">
        <v>44319</v>
      </c>
      <c r="AA928" s="1108" t="s">
        <v>37</v>
      </c>
    </row>
    <row r="929" spans="1:27" s="869" customFormat="1" ht="116.25" thickBot="1" x14ac:dyDescent="0.3">
      <c r="A929" s="488"/>
      <c r="B929" s="131"/>
      <c r="C929" s="75"/>
      <c r="D929" s="568"/>
      <c r="E929" s="568"/>
      <c r="F929" s="75"/>
      <c r="G929" s="75"/>
      <c r="H929" s="568"/>
      <c r="I929" s="875"/>
      <c r="J929" s="187">
        <v>1019</v>
      </c>
      <c r="K929" s="73" t="s">
        <v>8113</v>
      </c>
      <c r="L929" s="914">
        <v>1792635.2926</v>
      </c>
      <c r="M929" s="914">
        <v>5444269.6090000002</v>
      </c>
      <c r="N929" s="72" t="s">
        <v>8114</v>
      </c>
      <c r="O929" s="72" t="s">
        <v>5</v>
      </c>
      <c r="P929" s="72">
        <v>1</v>
      </c>
      <c r="Q929" s="72" t="s">
        <v>8944</v>
      </c>
      <c r="R929" s="73" t="s">
        <v>8061</v>
      </c>
      <c r="S929" s="74" t="s">
        <v>16</v>
      </c>
      <c r="T929" s="838" t="s">
        <v>8086</v>
      </c>
      <c r="U929" s="92" t="s">
        <v>8115</v>
      </c>
      <c r="V929" s="92" t="s">
        <v>8093</v>
      </c>
      <c r="W929" s="834" t="s">
        <v>1380</v>
      </c>
      <c r="X929" s="93">
        <v>44294</v>
      </c>
      <c r="Y929" s="92"/>
      <c r="Z929" s="93">
        <v>44319</v>
      </c>
      <c r="AA929" s="1108" t="s">
        <v>37</v>
      </c>
    </row>
    <row r="930" spans="1:27" s="869" customFormat="1" ht="90.75" thickBot="1" x14ac:dyDescent="0.3">
      <c r="A930" s="488"/>
      <c r="B930" s="131"/>
      <c r="C930" s="75"/>
      <c r="D930" s="568"/>
      <c r="E930" s="568"/>
      <c r="F930" s="75"/>
      <c r="G930" s="75"/>
      <c r="H930" s="568"/>
      <c r="I930" s="875"/>
      <c r="J930" s="87">
        <v>1020</v>
      </c>
      <c r="K930" s="360" t="s">
        <v>8116</v>
      </c>
      <c r="L930" s="198">
        <v>1788851.7479999999</v>
      </c>
      <c r="M930" s="198">
        <v>5440600.6529999999</v>
      </c>
      <c r="N930" s="83" t="s">
        <v>8117</v>
      </c>
      <c r="O930" s="83" t="s">
        <v>5</v>
      </c>
      <c r="P930" s="83">
        <v>2</v>
      </c>
      <c r="Q930" s="840" t="s">
        <v>8118</v>
      </c>
      <c r="R930" s="360" t="s">
        <v>8061</v>
      </c>
      <c r="S930" s="88" t="s">
        <v>85</v>
      </c>
      <c r="T930" s="838" t="s">
        <v>798</v>
      </c>
      <c r="U930" s="92" t="s">
        <v>8119</v>
      </c>
      <c r="V930" s="92" t="s">
        <v>8093</v>
      </c>
      <c r="W930" s="834" t="s">
        <v>1380</v>
      </c>
      <c r="X930" s="93">
        <v>44294</v>
      </c>
      <c r="Y930" s="92"/>
      <c r="Z930" s="93">
        <v>44319</v>
      </c>
      <c r="AA930" s="1108" t="s">
        <v>37</v>
      </c>
    </row>
    <row r="931" spans="1:27" s="869" customFormat="1" ht="90.75" thickBot="1" x14ac:dyDescent="0.3">
      <c r="A931" s="489"/>
      <c r="B931" s="133"/>
      <c r="C931" s="78"/>
      <c r="D931" s="569"/>
      <c r="E931" s="569"/>
      <c r="F931" s="78"/>
      <c r="G931" s="78"/>
      <c r="H931" s="569"/>
      <c r="I931" s="876"/>
      <c r="J931" s="87">
        <v>1021</v>
      </c>
      <c r="K931" s="360" t="s">
        <v>8120</v>
      </c>
      <c r="L931" s="198">
        <v>1787865.4068</v>
      </c>
      <c r="M931" s="198">
        <v>5439652.8300999999</v>
      </c>
      <c r="N931" s="199" t="s">
        <v>8121</v>
      </c>
      <c r="O931" s="199" t="s">
        <v>61</v>
      </c>
      <c r="P931" s="83">
        <v>1</v>
      </c>
      <c r="Q931" s="83" t="s">
        <v>8122</v>
      </c>
      <c r="R931" s="360" t="s">
        <v>8071</v>
      </c>
      <c r="S931" s="88" t="s">
        <v>16</v>
      </c>
      <c r="T931" s="838" t="s">
        <v>8086</v>
      </c>
      <c r="U931" s="92" t="s">
        <v>8123</v>
      </c>
      <c r="V931" s="92" t="s">
        <v>8093</v>
      </c>
      <c r="W931" s="834" t="s">
        <v>1380</v>
      </c>
      <c r="X931" s="93">
        <v>44294</v>
      </c>
      <c r="Y931" s="92"/>
      <c r="Z931" s="93">
        <v>44319</v>
      </c>
      <c r="AA931" s="1108" t="s">
        <v>37</v>
      </c>
    </row>
    <row r="932" spans="1:27" s="869" customFormat="1" ht="39.75" thickBot="1" x14ac:dyDescent="0.3">
      <c r="A932" s="341" t="s">
        <v>1739</v>
      </c>
      <c r="B932" s="181" t="s">
        <v>6829</v>
      </c>
      <c r="C932" s="125">
        <v>281</v>
      </c>
      <c r="D932" s="585" t="s">
        <v>53</v>
      </c>
      <c r="E932" s="585" t="s">
        <v>52</v>
      </c>
      <c r="F932" s="125" t="s">
        <v>567</v>
      </c>
      <c r="G932" s="125" t="s">
        <v>7991</v>
      </c>
      <c r="H932" s="125"/>
      <c r="I932" s="879"/>
      <c r="J932" s="89">
        <v>1027</v>
      </c>
      <c r="K932" s="396" t="s">
        <v>8124</v>
      </c>
      <c r="L932" s="265">
        <v>1813357.6011000001</v>
      </c>
      <c r="M932" s="265">
        <v>5464774.5612000003</v>
      </c>
      <c r="N932" s="109" t="s">
        <v>8125</v>
      </c>
      <c r="O932" s="84" t="s">
        <v>5</v>
      </c>
      <c r="P932" s="84">
        <v>20</v>
      </c>
      <c r="Q932" s="84" t="s">
        <v>8126</v>
      </c>
      <c r="R932" s="396" t="s">
        <v>8037</v>
      </c>
      <c r="S932" s="90" t="s">
        <v>16</v>
      </c>
      <c r="T932" s="838" t="s">
        <v>24</v>
      </c>
      <c r="U932" s="92" t="s">
        <v>8127</v>
      </c>
      <c r="V932" s="92" t="s">
        <v>8136</v>
      </c>
      <c r="W932" s="834" t="s">
        <v>1380</v>
      </c>
      <c r="X932" s="93">
        <v>44294</v>
      </c>
      <c r="Y932" s="92"/>
      <c r="Z932" s="93">
        <v>44384</v>
      </c>
      <c r="AA932" s="1108" t="s">
        <v>37</v>
      </c>
    </row>
    <row r="933" spans="1:27" s="869" customFormat="1" ht="78" thickBot="1" x14ac:dyDescent="0.3">
      <c r="A933" s="339"/>
      <c r="B933" s="116"/>
      <c r="C933" s="95"/>
      <c r="D933" s="567"/>
      <c r="E933" s="567"/>
      <c r="F933" s="95"/>
      <c r="G933" s="95"/>
      <c r="H933" s="95"/>
      <c r="I933" s="880"/>
      <c r="J933" s="189">
        <v>1367</v>
      </c>
      <c r="K933" s="355" t="s">
        <v>8128</v>
      </c>
      <c r="L933" s="911">
        <v>1814150.5042999999</v>
      </c>
      <c r="M933" s="911">
        <v>5465500.5356999999</v>
      </c>
      <c r="N933" s="126">
        <v>12.5</v>
      </c>
      <c r="O933" s="125" t="s">
        <v>5</v>
      </c>
      <c r="P933" s="125">
        <v>2</v>
      </c>
      <c r="Q933" s="394" t="s">
        <v>8129</v>
      </c>
      <c r="R933" s="355" t="s">
        <v>8037</v>
      </c>
      <c r="S933" s="134" t="s">
        <v>85</v>
      </c>
      <c r="T933" s="838" t="s">
        <v>4336</v>
      </c>
      <c r="U933" s="92" t="s">
        <v>8130</v>
      </c>
      <c r="V933" s="92" t="s">
        <v>8135</v>
      </c>
      <c r="W933" s="834" t="s">
        <v>1380</v>
      </c>
      <c r="X933" s="93">
        <v>44384</v>
      </c>
      <c r="Y933" s="92"/>
      <c r="Z933" s="93">
        <v>44384</v>
      </c>
      <c r="AA933" s="1108" t="s">
        <v>37</v>
      </c>
    </row>
    <row r="934" spans="1:27" s="869" customFormat="1" ht="44.25" customHeight="1" thickBot="1" x14ac:dyDescent="0.3">
      <c r="A934" s="339"/>
      <c r="B934" s="116"/>
      <c r="C934" s="95"/>
      <c r="D934" s="567"/>
      <c r="E934" s="567"/>
      <c r="F934" s="95"/>
      <c r="G934" s="95"/>
      <c r="H934" s="567"/>
      <c r="I934" s="880"/>
      <c r="J934" s="89">
        <v>1026</v>
      </c>
      <c r="K934" s="396" t="s">
        <v>8131</v>
      </c>
      <c r="L934" s="265">
        <v>1826472.86</v>
      </c>
      <c r="M934" s="265">
        <v>5480380.2418</v>
      </c>
      <c r="N934" s="109" t="s">
        <v>8132</v>
      </c>
      <c r="O934" s="84" t="s">
        <v>5</v>
      </c>
      <c r="P934" s="84"/>
      <c r="Q934" s="84" t="s">
        <v>8133</v>
      </c>
      <c r="R934" s="396" t="s">
        <v>8037</v>
      </c>
      <c r="S934" s="90" t="s">
        <v>85</v>
      </c>
      <c r="T934" s="838" t="s">
        <v>24</v>
      </c>
      <c r="U934" s="92" t="s">
        <v>8134</v>
      </c>
      <c r="V934" s="92" t="s">
        <v>7891</v>
      </c>
      <c r="W934" s="834" t="s">
        <v>1380</v>
      </c>
      <c r="X934" s="93">
        <v>44294</v>
      </c>
      <c r="Y934" s="92"/>
      <c r="Z934" s="93">
        <v>44319</v>
      </c>
      <c r="AA934" s="1108" t="s">
        <v>37</v>
      </c>
    </row>
    <row r="935" spans="1:27" s="350" customFormat="1" ht="38.25" x14ac:dyDescent="0.2">
      <c r="A935" s="487" t="s">
        <v>388</v>
      </c>
      <c r="B935" s="128" t="s">
        <v>388</v>
      </c>
      <c r="C935" s="72">
        <v>560</v>
      </c>
      <c r="D935" s="586" t="s">
        <v>53</v>
      </c>
      <c r="E935" s="586"/>
      <c r="F935" s="72" t="s">
        <v>389</v>
      </c>
      <c r="G935" s="140" t="s">
        <v>1974</v>
      </c>
      <c r="H935" s="72"/>
      <c r="I935" s="381"/>
      <c r="J935" s="72">
        <v>517</v>
      </c>
      <c r="K935" s="73" t="s">
        <v>3371</v>
      </c>
      <c r="L935" s="914">
        <v>1599748.4927000001</v>
      </c>
      <c r="M935" s="914">
        <v>5377873.0963000003</v>
      </c>
      <c r="N935" s="72" t="s">
        <v>3375</v>
      </c>
      <c r="O935" s="72" t="s">
        <v>5</v>
      </c>
      <c r="P935" s="72">
        <v>1</v>
      </c>
      <c r="Q935" s="72" t="s">
        <v>8943</v>
      </c>
      <c r="R935" s="65" t="s">
        <v>3260</v>
      </c>
      <c r="S935" s="74" t="s">
        <v>16</v>
      </c>
      <c r="T935" s="851" t="s">
        <v>401</v>
      </c>
      <c r="U935" s="152" t="s">
        <v>3384</v>
      </c>
      <c r="V935" s="152" t="s">
        <v>3365</v>
      </c>
      <c r="W935" s="152" t="s">
        <v>37</v>
      </c>
      <c r="X935" s="170">
        <v>44145</v>
      </c>
      <c r="Y935" s="152"/>
      <c r="Z935" s="361"/>
      <c r="AA935" s="1112"/>
    </row>
    <row r="936" spans="1:27" s="350" customFormat="1" ht="51" x14ac:dyDescent="0.2">
      <c r="A936" s="488"/>
      <c r="B936" s="131"/>
      <c r="C936" s="75"/>
      <c r="D936" s="568"/>
      <c r="E936" s="568"/>
      <c r="F936" s="143"/>
      <c r="G936" s="75"/>
      <c r="H936" s="75"/>
      <c r="I936" s="121"/>
      <c r="J936" s="75">
        <v>518</v>
      </c>
      <c r="K936" s="76" t="s">
        <v>3372</v>
      </c>
      <c r="L936" s="915">
        <v>1599561.1836999999</v>
      </c>
      <c r="M936" s="915">
        <v>5377775.9166999999</v>
      </c>
      <c r="N936" s="75" t="s">
        <v>3376</v>
      </c>
      <c r="O936" s="75" t="s">
        <v>5</v>
      </c>
      <c r="P936" s="75">
        <v>1</v>
      </c>
      <c r="Q936" s="75" t="s">
        <v>8942</v>
      </c>
      <c r="R936" s="695" t="s">
        <v>3260</v>
      </c>
      <c r="S936" s="77" t="s">
        <v>16</v>
      </c>
      <c r="T936" s="849" t="s">
        <v>24</v>
      </c>
      <c r="U936" s="137" t="s">
        <v>3385</v>
      </c>
      <c r="V936" s="137" t="s">
        <v>3365</v>
      </c>
      <c r="W936" s="137" t="s">
        <v>37</v>
      </c>
      <c r="X936" s="139">
        <v>44145</v>
      </c>
      <c r="Y936" s="137"/>
      <c r="Z936" s="358"/>
      <c r="AA936" s="1110"/>
    </row>
    <row r="937" spans="1:27" s="350" customFormat="1" ht="51" x14ac:dyDescent="0.2">
      <c r="A937" s="488"/>
      <c r="B937" s="131"/>
      <c r="C937" s="75"/>
      <c r="D937" s="568"/>
      <c r="E937" s="568"/>
      <c r="F937" s="143"/>
      <c r="G937" s="75"/>
      <c r="H937" s="75"/>
      <c r="I937" s="121"/>
      <c r="J937" s="75">
        <v>519</v>
      </c>
      <c r="K937" s="76" t="s">
        <v>3373</v>
      </c>
      <c r="L937" s="915">
        <v>1599401.2304</v>
      </c>
      <c r="M937" s="915">
        <v>5377696.9143000003</v>
      </c>
      <c r="N937" s="75" t="s">
        <v>3376</v>
      </c>
      <c r="O937" s="75" t="s">
        <v>5</v>
      </c>
      <c r="P937" s="75">
        <v>1</v>
      </c>
      <c r="Q937" s="75" t="s">
        <v>8942</v>
      </c>
      <c r="R937" s="695" t="s">
        <v>3260</v>
      </c>
      <c r="S937" s="77" t="s">
        <v>16</v>
      </c>
      <c r="T937" s="849" t="s">
        <v>401</v>
      </c>
      <c r="U937" s="137" t="s">
        <v>3386</v>
      </c>
      <c r="V937" s="137" t="s">
        <v>3365</v>
      </c>
      <c r="W937" s="137" t="s">
        <v>37</v>
      </c>
      <c r="X937" s="139">
        <v>44145</v>
      </c>
      <c r="Y937" s="137"/>
      <c r="Z937" s="358"/>
      <c r="AA937" s="1110"/>
    </row>
    <row r="938" spans="1:27" s="350" customFormat="1" ht="51.75" thickBot="1" x14ac:dyDescent="0.25">
      <c r="A938" s="488"/>
      <c r="B938" s="131"/>
      <c r="C938" s="75"/>
      <c r="D938" s="568"/>
      <c r="E938" s="568"/>
      <c r="F938" s="143"/>
      <c r="G938" s="75"/>
      <c r="H938" s="75"/>
      <c r="I938" s="121"/>
      <c r="J938" s="78">
        <v>520</v>
      </c>
      <c r="K938" s="79" t="s">
        <v>3374</v>
      </c>
      <c r="L938" s="916">
        <v>1598964.9672000001</v>
      </c>
      <c r="M938" s="916">
        <v>5377459.7024999997</v>
      </c>
      <c r="N938" s="78" t="s">
        <v>3377</v>
      </c>
      <c r="O938" s="78" t="s">
        <v>5</v>
      </c>
      <c r="P938" s="78">
        <v>1</v>
      </c>
      <c r="Q938" s="78" t="s">
        <v>8941</v>
      </c>
      <c r="R938" s="70" t="s">
        <v>3260</v>
      </c>
      <c r="S938" s="80" t="s">
        <v>16</v>
      </c>
      <c r="T938" s="852" t="s">
        <v>401</v>
      </c>
      <c r="U938" s="155" t="s">
        <v>3387</v>
      </c>
      <c r="V938" s="155" t="s">
        <v>3365</v>
      </c>
      <c r="W938" s="155" t="s">
        <v>37</v>
      </c>
      <c r="X938" s="172">
        <v>44145</v>
      </c>
      <c r="Y938" s="155"/>
      <c r="Z938" s="362"/>
      <c r="AA938" s="1111"/>
    </row>
    <row r="939" spans="1:27" s="350" customFormat="1" ht="51" x14ac:dyDescent="0.2">
      <c r="A939" s="488"/>
      <c r="B939" s="131"/>
      <c r="C939" s="75"/>
      <c r="D939" s="568"/>
      <c r="E939" s="568"/>
      <c r="F939" s="143"/>
      <c r="G939" s="75"/>
      <c r="H939" s="75"/>
      <c r="I939" s="121"/>
      <c r="J939" s="72">
        <v>521</v>
      </c>
      <c r="K939" s="73" t="s">
        <v>3378</v>
      </c>
      <c r="L939" s="914">
        <v>1684484.9643999999</v>
      </c>
      <c r="M939" s="914">
        <v>5411015.3288000003</v>
      </c>
      <c r="N939" s="72" t="s">
        <v>3381</v>
      </c>
      <c r="O939" s="72" t="s">
        <v>5</v>
      </c>
      <c r="P939" s="72">
        <v>4</v>
      </c>
      <c r="Q939" s="72" t="s">
        <v>8940</v>
      </c>
      <c r="R939" s="65" t="s">
        <v>3260</v>
      </c>
      <c r="S939" s="74" t="s">
        <v>10</v>
      </c>
      <c r="T939" s="361" t="s">
        <v>1779</v>
      </c>
      <c r="U939" s="152" t="s">
        <v>3388</v>
      </c>
      <c r="V939" s="152" t="s">
        <v>3365</v>
      </c>
      <c r="W939" s="152" t="s">
        <v>37</v>
      </c>
      <c r="X939" s="170">
        <v>44145</v>
      </c>
      <c r="Y939" s="152"/>
      <c r="Z939" s="361"/>
      <c r="AA939" s="1112"/>
    </row>
    <row r="940" spans="1:27" s="350" customFormat="1" ht="63.75" x14ac:dyDescent="0.2">
      <c r="A940" s="488"/>
      <c r="B940" s="131"/>
      <c r="C940" s="75"/>
      <c r="D940" s="568"/>
      <c r="E940" s="568"/>
      <c r="F940" s="143"/>
      <c r="G940" s="75"/>
      <c r="H940" s="75"/>
      <c r="I940" s="121"/>
      <c r="J940" s="75">
        <v>522</v>
      </c>
      <c r="K940" s="76" t="s">
        <v>3379</v>
      </c>
      <c r="L940" s="915">
        <v>1683836.8987</v>
      </c>
      <c r="M940" s="915">
        <v>5410661.4743999997</v>
      </c>
      <c r="N940" s="75" t="s">
        <v>3382</v>
      </c>
      <c r="O940" s="75" t="s">
        <v>5</v>
      </c>
      <c r="P940" s="75">
        <v>10</v>
      </c>
      <c r="Q940" s="75" t="s">
        <v>8939</v>
      </c>
      <c r="R940" s="695" t="s">
        <v>3260</v>
      </c>
      <c r="S940" s="77" t="s">
        <v>10</v>
      </c>
      <c r="T940" s="358" t="s">
        <v>1779</v>
      </c>
      <c r="U940" s="137" t="s">
        <v>3389</v>
      </c>
      <c r="V940" s="137" t="s">
        <v>3365</v>
      </c>
      <c r="W940" s="137" t="s">
        <v>37</v>
      </c>
      <c r="X940" s="139">
        <v>44145</v>
      </c>
      <c r="Y940" s="137"/>
      <c r="Z940" s="358"/>
      <c r="AA940" s="1110"/>
    </row>
    <row r="941" spans="1:27" s="350" customFormat="1" ht="63.75" x14ac:dyDescent="0.2">
      <c r="A941" s="488"/>
      <c r="B941" s="131"/>
      <c r="C941" s="75"/>
      <c r="D941" s="568"/>
      <c r="E941" s="568"/>
      <c r="F941" s="143"/>
      <c r="G941" s="75"/>
      <c r="H941" s="75"/>
      <c r="I941" s="121"/>
      <c r="J941" s="75">
        <v>523</v>
      </c>
      <c r="K941" s="76" t="s">
        <v>3380</v>
      </c>
      <c r="L941" s="915">
        <v>1682990.5947</v>
      </c>
      <c r="M941" s="915">
        <v>5410225.8104999997</v>
      </c>
      <c r="N941" s="75" t="s">
        <v>3383</v>
      </c>
      <c r="O941" s="75" t="s">
        <v>5</v>
      </c>
      <c r="P941" s="75">
        <v>6</v>
      </c>
      <c r="Q941" s="75" t="s">
        <v>8938</v>
      </c>
      <c r="R941" s="695" t="s">
        <v>3260</v>
      </c>
      <c r="S941" s="77" t="s">
        <v>10</v>
      </c>
      <c r="T941" s="358" t="s">
        <v>1779</v>
      </c>
      <c r="U941" s="137" t="s">
        <v>3390</v>
      </c>
      <c r="V941" s="137" t="s">
        <v>3365</v>
      </c>
      <c r="W941" s="137" t="s">
        <v>37</v>
      </c>
      <c r="X941" s="139">
        <v>44145</v>
      </c>
      <c r="Y941" s="137"/>
      <c r="Z941" s="358"/>
      <c r="AA941" s="1110"/>
    </row>
    <row r="942" spans="1:27" s="350" customFormat="1" ht="26.25" thickBot="1" x14ac:dyDescent="0.25">
      <c r="A942" s="488"/>
      <c r="B942" s="131"/>
      <c r="C942" s="75"/>
      <c r="D942" s="568"/>
      <c r="E942" s="568"/>
      <c r="F942" s="143"/>
      <c r="G942" s="75"/>
      <c r="H942" s="75"/>
      <c r="I942" s="121"/>
      <c r="J942" s="78"/>
      <c r="K942" s="79" t="s">
        <v>3407</v>
      </c>
      <c r="L942" s="916"/>
      <c r="M942" s="916"/>
      <c r="N942" s="78" t="s">
        <v>3408</v>
      </c>
      <c r="O942" s="78" t="s">
        <v>5</v>
      </c>
      <c r="P942" s="78" t="s">
        <v>3409</v>
      </c>
      <c r="Q942" s="78" t="s">
        <v>8937</v>
      </c>
      <c r="R942" s="70" t="s">
        <v>3260</v>
      </c>
      <c r="S942" s="80" t="s">
        <v>10</v>
      </c>
      <c r="T942" s="362" t="s">
        <v>3410</v>
      </c>
      <c r="U942" s="155" t="s">
        <v>3411</v>
      </c>
      <c r="V942" s="155" t="s">
        <v>3365</v>
      </c>
      <c r="W942" s="155" t="s">
        <v>37</v>
      </c>
      <c r="X942" s="172">
        <v>44146</v>
      </c>
      <c r="Y942" s="155"/>
      <c r="Z942" s="362"/>
      <c r="AA942" s="1111"/>
    </row>
    <row r="943" spans="1:27" s="350" customFormat="1" ht="39" thickBot="1" x14ac:dyDescent="0.25">
      <c r="A943" s="488"/>
      <c r="B943" s="131"/>
      <c r="C943" s="75"/>
      <c r="D943" s="568"/>
      <c r="E943" s="568"/>
      <c r="F943" s="143"/>
      <c r="G943" s="75"/>
      <c r="H943" s="75"/>
      <c r="I943" s="121"/>
      <c r="J943" s="83"/>
      <c r="K943" s="360" t="s">
        <v>3401</v>
      </c>
      <c r="L943" s="198"/>
      <c r="M943" s="198"/>
      <c r="N943" s="83" t="s">
        <v>3402</v>
      </c>
      <c r="O943" s="83" t="s">
        <v>5</v>
      </c>
      <c r="P943" s="83">
        <v>24</v>
      </c>
      <c r="Q943" s="83" t="s">
        <v>8936</v>
      </c>
      <c r="R943" s="380" t="s">
        <v>3403</v>
      </c>
      <c r="S943" s="88" t="s">
        <v>10</v>
      </c>
      <c r="T943" s="446" t="s">
        <v>3404</v>
      </c>
      <c r="U943" s="208" t="s">
        <v>3405</v>
      </c>
      <c r="V943" s="208" t="s">
        <v>3365</v>
      </c>
      <c r="W943" s="208" t="s">
        <v>37</v>
      </c>
      <c r="X943" s="209">
        <v>44146</v>
      </c>
      <c r="Y943" s="208"/>
      <c r="Z943" s="364"/>
      <c r="AA943" s="1109"/>
    </row>
    <row r="944" spans="1:27" ht="39.75" thickBot="1" x14ac:dyDescent="0.3">
      <c r="A944" s="488"/>
      <c r="B944" s="131"/>
      <c r="C944" s="75"/>
      <c r="D944" s="568"/>
      <c r="E944" s="568"/>
      <c r="F944" s="143"/>
      <c r="G944" s="75"/>
      <c r="H944" s="75"/>
      <c r="I944" s="875"/>
      <c r="J944" s="72">
        <v>5509</v>
      </c>
      <c r="K944" s="73">
        <v>40</v>
      </c>
      <c r="L944" s="914">
        <v>1621292.7981</v>
      </c>
      <c r="M944" s="914">
        <v>5389027.8589000003</v>
      </c>
      <c r="N944" s="72" t="s">
        <v>9050</v>
      </c>
      <c r="O944" s="72" t="s">
        <v>5</v>
      </c>
      <c r="P944" s="72">
        <v>1</v>
      </c>
      <c r="Q944" s="72" t="s">
        <v>9050</v>
      </c>
      <c r="R944" s="73" t="s">
        <v>9185</v>
      </c>
      <c r="S944" s="74" t="s">
        <v>10</v>
      </c>
      <c r="T944" s="838" t="s">
        <v>24</v>
      </c>
      <c r="U944" s="92" t="s">
        <v>9186</v>
      </c>
      <c r="V944" s="92" t="s">
        <v>9187</v>
      </c>
      <c r="W944" s="92" t="s">
        <v>37</v>
      </c>
      <c r="X944" s="93">
        <v>44414</v>
      </c>
      <c r="Y944" s="92"/>
      <c r="Z944" s="368"/>
      <c r="AA944" s="1108"/>
    </row>
    <row r="945" spans="1:27" ht="39.75" thickBot="1" x14ac:dyDescent="0.3">
      <c r="A945" s="488"/>
      <c r="B945" s="131"/>
      <c r="C945" s="75"/>
      <c r="D945" s="568"/>
      <c r="E945" s="568"/>
      <c r="F945" s="143"/>
      <c r="G945" s="75"/>
      <c r="H945" s="75"/>
      <c r="I945" s="875"/>
      <c r="J945" s="75">
        <v>5510</v>
      </c>
      <c r="K945" s="76">
        <v>5</v>
      </c>
      <c r="L945" s="915">
        <v>1620887.1484000001</v>
      </c>
      <c r="M945" s="915">
        <v>5388870.3937999997</v>
      </c>
      <c r="N945" s="75" t="s">
        <v>9172</v>
      </c>
      <c r="O945" s="75" t="s">
        <v>5</v>
      </c>
      <c r="P945" s="75">
        <v>1</v>
      </c>
      <c r="Q945" s="75" t="s">
        <v>9172</v>
      </c>
      <c r="R945" s="76" t="s">
        <v>9185</v>
      </c>
      <c r="S945" s="77" t="s">
        <v>10</v>
      </c>
      <c r="T945" s="838" t="s">
        <v>24</v>
      </c>
      <c r="U945" s="92" t="s">
        <v>9186</v>
      </c>
      <c r="V945" s="92" t="s">
        <v>9187</v>
      </c>
      <c r="W945" s="92" t="s">
        <v>37</v>
      </c>
      <c r="X945" s="93">
        <v>44414</v>
      </c>
      <c r="Y945" s="92"/>
      <c r="Z945" s="368"/>
      <c r="AA945" s="1108"/>
    </row>
    <row r="946" spans="1:27" ht="39.75" thickBot="1" x14ac:dyDescent="0.3">
      <c r="A946" s="488"/>
      <c r="B946" s="131"/>
      <c r="C946" s="75"/>
      <c r="D946" s="568"/>
      <c r="E946" s="568"/>
      <c r="F946" s="143"/>
      <c r="G946" s="75"/>
      <c r="H946" s="75"/>
      <c r="I946" s="875"/>
      <c r="J946" s="78">
        <v>5511</v>
      </c>
      <c r="K946" s="79">
        <v>6</v>
      </c>
      <c r="L946" s="916">
        <v>1620510.7413999999</v>
      </c>
      <c r="M946" s="916">
        <v>5388720.5723999999</v>
      </c>
      <c r="N946" s="78" t="s">
        <v>9173</v>
      </c>
      <c r="O946" s="78" t="s">
        <v>5</v>
      </c>
      <c r="P946" s="78">
        <v>1</v>
      </c>
      <c r="Q946" s="78" t="s">
        <v>9173</v>
      </c>
      <c r="R946" s="79" t="s">
        <v>9185</v>
      </c>
      <c r="S946" s="80" t="s">
        <v>16</v>
      </c>
      <c r="T946" s="838" t="s">
        <v>24</v>
      </c>
      <c r="U946" s="92" t="s">
        <v>9186</v>
      </c>
      <c r="V946" s="92" t="s">
        <v>9187</v>
      </c>
      <c r="W946" s="92" t="s">
        <v>37</v>
      </c>
      <c r="X946" s="93">
        <v>44414</v>
      </c>
      <c r="Y946" s="92"/>
      <c r="Z946" s="368"/>
      <c r="AA946" s="1108"/>
    </row>
    <row r="947" spans="1:27" ht="65.25" thickBot="1" x14ac:dyDescent="0.3">
      <c r="A947" s="488"/>
      <c r="B947" s="131"/>
      <c r="C947" s="75"/>
      <c r="D947" s="568"/>
      <c r="E947" s="568"/>
      <c r="F947" s="143"/>
      <c r="G947" s="75"/>
      <c r="H947" s="75"/>
      <c r="I947" s="875"/>
      <c r="J947" s="72">
        <v>5512</v>
      </c>
      <c r="K947" s="73">
        <v>8</v>
      </c>
      <c r="L947" s="914">
        <v>1599748.4927000001</v>
      </c>
      <c r="M947" s="914">
        <v>5377873.0963000003</v>
      </c>
      <c r="N947" s="72" t="s">
        <v>9174</v>
      </c>
      <c r="O947" s="72" t="s">
        <v>5</v>
      </c>
      <c r="P947" s="72">
        <v>1</v>
      </c>
      <c r="Q947" s="72" t="s">
        <v>9174</v>
      </c>
      <c r="R947" s="73" t="s">
        <v>9185</v>
      </c>
      <c r="S947" s="74" t="s">
        <v>10</v>
      </c>
      <c r="T947" s="838" t="s">
        <v>401</v>
      </c>
      <c r="U947" s="92" t="s">
        <v>9188</v>
      </c>
      <c r="V947" s="92" t="s">
        <v>9187</v>
      </c>
      <c r="W947" s="92" t="s">
        <v>37</v>
      </c>
      <c r="X947" s="93">
        <v>44414</v>
      </c>
      <c r="Y947" s="92"/>
      <c r="Z947" s="368"/>
      <c r="AA947" s="1108"/>
    </row>
    <row r="948" spans="1:27" ht="65.25" thickBot="1" x14ac:dyDescent="0.3">
      <c r="A948" s="488"/>
      <c r="B948" s="131"/>
      <c r="C948" s="75"/>
      <c r="D948" s="568"/>
      <c r="E948" s="568"/>
      <c r="F948" s="143"/>
      <c r="G948" s="75"/>
      <c r="H948" s="75"/>
      <c r="I948" s="875"/>
      <c r="J948" s="75">
        <v>5513</v>
      </c>
      <c r="K948" s="76">
        <v>58</v>
      </c>
      <c r="L948" s="915">
        <v>1599733.048</v>
      </c>
      <c r="M948" s="915">
        <v>5377867.3519000001</v>
      </c>
      <c r="N948" s="75" t="s">
        <v>9175</v>
      </c>
      <c r="O948" s="75" t="s">
        <v>5</v>
      </c>
      <c r="P948" s="75">
        <v>1</v>
      </c>
      <c r="Q948" s="75" t="s">
        <v>9175</v>
      </c>
      <c r="R948" s="76" t="s">
        <v>9185</v>
      </c>
      <c r="S948" s="77" t="s">
        <v>10</v>
      </c>
      <c r="T948" s="838" t="s">
        <v>24</v>
      </c>
      <c r="U948" s="92" t="s">
        <v>9188</v>
      </c>
      <c r="V948" s="92" t="s">
        <v>9187</v>
      </c>
      <c r="W948" s="92" t="s">
        <v>37</v>
      </c>
      <c r="X948" s="93">
        <v>44414</v>
      </c>
      <c r="Y948" s="92"/>
      <c r="Z948" s="368"/>
      <c r="AA948" s="1108"/>
    </row>
    <row r="949" spans="1:27" ht="65.25" thickBot="1" x14ac:dyDescent="0.3">
      <c r="A949" s="488"/>
      <c r="B949" s="131"/>
      <c r="C949" s="75"/>
      <c r="D949" s="568"/>
      <c r="E949" s="568"/>
      <c r="F949" s="143"/>
      <c r="G949" s="75"/>
      <c r="H949" s="75"/>
      <c r="I949" s="875"/>
      <c r="J949" s="75">
        <v>5514</v>
      </c>
      <c r="K949" s="76">
        <v>54</v>
      </c>
      <c r="L949" s="915">
        <v>1599561.1836999999</v>
      </c>
      <c r="M949" s="915">
        <v>5377775.9166999999</v>
      </c>
      <c r="N949" s="75" t="s">
        <v>9176</v>
      </c>
      <c r="O949" s="75" t="s">
        <v>5</v>
      </c>
      <c r="P949" s="75">
        <v>1</v>
      </c>
      <c r="Q949" s="75" t="s">
        <v>9176</v>
      </c>
      <c r="R949" s="76" t="s">
        <v>9185</v>
      </c>
      <c r="S949" s="77" t="s">
        <v>16</v>
      </c>
      <c r="T949" s="838" t="s">
        <v>24</v>
      </c>
      <c r="U949" s="92" t="s">
        <v>9188</v>
      </c>
      <c r="V949" s="92" t="s">
        <v>9187</v>
      </c>
      <c r="W949" s="92" t="s">
        <v>37</v>
      </c>
      <c r="X949" s="93">
        <v>44414</v>
      </c>
      <c r="Y949" s="92"/>
      <c r="Z949" s="368"/>
      <c r="AA949" s="1108"/>
    </row>
    <row r="950" spans="1:27" ht="65.25" thickBot="1" x14ac:dyDescent="0.3">
      <c r="A950" s="488"/>
      <c r="B950" s="131"/>
      <c r="C950" s="75"/>
      <c r="D950" s="568"/>
      <c r="E950" s="568"/>
      <c r="F950" s="143"/>
      <c r="G950" s="75"/>
      <c r="H950" s="75"/>
      <c r="I950" s="875"/>
      <c r="J950" s="75">
        <v>5515</v>
      </c>
      <c r="K950" s="76">
        <v>94</v>
      </c>
      <c r="L950" s="915">
        <v>1599523.4569000001</v>
      </c>
      <c r="M950" s="915">
        <v>5377757.3415000001</v>
      </c>
      <c r="N950" s="75" t="s">
        <v>9177</v>
      </c>
      <c r="O950" s="75" t="s">
        <v>5</v>
      </c>
      <c r="P950" s="75">
        <v>1</v>
      </c>
      <c r="Q950" s="75" t="s">
        <v>9177</v>
      </c>
      <c r="R950" s="76" t="s">
        <v>9185</v>
      </c>
      <c r="S950" s="77" t="s">
        <v>16</v>
      </c>
      <c r="T950" s="838" t="s">
        <v>24</v>
      </c>
      <c r="U950" s="92" t="s">
        <v>9188</v>
      </c>
      <c r="V950" s="92" t="s">
        <v>9187</v>
      </c>
      <c r="W950" s="92" t="s">
        <v>37</v>
      </c>
      <c r="X950" s="93">
        <v>44414</v>
      </c>
      <c r="Y950" s="92"/>
      <c r="Z950" s="368"/>
      <c r="AA950" s="1108"/>
    </row>
    <row r="951" spans="1:27" ht="65.25" thickBot="1" x14ac:dyDescent="0.3">
      <c r="A951" s="488"/>
      <c r="B951" s="131"/>
      <c r="C951" s="75"/>
      <c r="D951" s="568"/>
      <c r="E951" s="568"/>
      <c r="F951" s="143"/>
      <c r="G951" s="75"/>
      <c r="H951" s="75"/>
      <c r="I951" s="875"/>
      <c r="J951" s="75">
        <v>5516</v>
      </c>
      <c r="K951" s="76">
        <v>96</v>
      </c>
      <c r="L951" s="915">
        <v>1599498.746</v>
      </c>
      <c r="M951" s="915">
        <v>5377746.3843999999</v>
      </c>
      <c r="N951" s="75" t="s">
        <v>9178</v>
      </c>
      <c r="O951" s="75" t="s">
        <v>5</v>
      </c>
      <c r="P951" s="75">
        <v>1</v>
      </c>
      <c r="Q951" s="75" t="s">
        <v>9178</v>
      </c>
      <c r="R951" s="76" t="s">
        <v>9185</v>
      </c>
      <c r="S951" s="77" t="s">
        <v>16</v>
      </c>
      <c r="T951" s="838" t="s">
        <v>24</v>
      </c>
      <c r="U951" s="92" t="s">
        <v>9188</v>
      </c>
      <c r="V951" s="92" t="s">
        <v>9187</v>
      </c>
      <c r="W951" s="92" t="s">
        <v>37</v>
      </c>
      <c r="X951" s="93">
        <v>44414</v>
      </c>
      <c r="Y951" s="92"/>
      <c r="Z951" s="368"/>
      <c r="AA951" s="1108"/>
    </row>
    <row r="952" spans="1:27" ht="65.25" thickBot="1" x14ac:dyDescent="0.3">
      <c r="A952" s="488"/>
      <c r="B952" s="131"/>
      <c r="C952" s="75"/>
      <c r="D952" s="568"/>
      <c r="E952" s="568"/>
      <c r="F952" s="143"/>
      <c r="G952" s="75"/>
      <c r="H952" s="75"/>
      <c r="I952" s="875"/>
      <c r="J952" s="75">
        <v>5517</v>
      </c>
      <c r="K952" s="76">
        <v>97</v>
      </c>
      <c r="L952" s="915">
        <v>1599480.9663</v>
      </c>
      <c r="M952" s="915">
        <v>5377736.9718000004</v>
      </c>
      <c r="N952" s="75" t="s">
        <v>9179</v>
      </c>
      <c r="O952" s="75" t="s">
        <v>5</v>
      </c>
      <c r="P952" s="75">
        <v>1</v>
      </c>
      <c r="Q952" s="75" t="s">
        <v>9179</v>
      </c>
      <c r="R952" s="76" t="s">
        <v>9185</v>
      </c>
      <c r="S952" s="77" t="s">
        <v>16</v>
      </c>
      <c r="T952" s="838" t="s">
        <v>24</v>
      </c>
      <c r="U952" s="92" t="s">
        <v>9188</v>
      </c>
      <c r="V952" s="92" t="s">
        <v>9187</v>
      </c>
      <c r="W952" s="92" t="s">
        <v>37</v>
      </c>
      <c r="X952" s="93">
        <v>44414</v>
      </c>
      <c r="Y952" s="92"/>
      <c r="Z952" s="368"/>
      <c r="AA952" s="1108"/>
    </row>
    <row r="953" spans="1:27" ht="65.25" thickBot="1" x14ac:dyDescent="0.3">
      <c r="A953" s="488"/>
      <c r="B953" s="131"/>
      <c r="C953" s="75"/>
      <c r="D953" s="568"/>
      <c r="E953" s="568"/>
      <c r="F953" s="143"/>
      <c r="G953" s="75"/>
      <c r="H953" s="75"/>
      <c r="I953" s="875"/>
      <c r="J953" s="78">
        <v>5518</v>
      </c>
      <c r="K953" s="79">
        <v>7</v>
      </c>
      <c r="L953" s="916">
        <v>1599401.2304</v>
      </c>
      <c r="M953" s="916">
        <v>5377696.9143000003</v>
      </c>
      <c r="N953" s="78" t="s">
        <v>9180</v>
      </c>
      <c r="O953" s="78" t="s">
        <v>5</v>
      </c>
      <c r="P953" s="78">
        <v>1</v>
      </c>
      <c r="Q953" s="78" t="s">
        <v>9180</v>
      </c>
      <c r="R953" s="79" t="s">
        <v>9185</v>
      </c>
      <c r="S953" s="80" t="s">
        <v>10</v>
      </c>
      <c r="T953" s="838" t="s">
        <v>401</v>
      </c>
      <c r="U953" s="92" t="s">
        <v>9188</v>
      </c>
      <c r="V953" s="92" t="s">
        <v>9187</v>
      </c>
      <c r="W953" s="92" t="s">
        <v>37</v>
      </c>
      <c r="X953" s="93">
        <v>44414</v>
      </c>
      <c r="Y953" s="92"/>
      <c r="Z953" s="368"/>
      <c r="AA953" s="1108"/>
    </row>
    <row r="954" spans="1:27" ht="65.25" thickBot="1" x14ac:dyDescent="0.3">
      <c r="A954" s="488"/>
      <c r="B954" s="131"/>
      <c r="C954" s="75"/>
      <c r="D954" s="568"/>
      <c r="E954" s="568"/>
      <c r="F954" s="143"/>
      <c r="G954" s="75"/>
      <c r="H954" s="75"/>
      <c r="I954" s="875"/>
      <c r="J954" s="72">
        <v>5519</v>
      </c>
      <c r="K954" s="73">
        <v>31</v>
      </c>
      <c r="L954" s="914">
        <v>1594233.9746000001</v>
      </c>
      <c r="M954" s="914">
        <v>5375202.8233000003</v>
      </c>
      <c r="N954" s="72" t="s">
        <v>9181</v>
      </c>
      <c r="O954" s="72" t="s">
        <v>5</v>
      </c>
      <c r="P954" s="72">
        <v>1</v>
      </c>
      <c r="Q954" s="72" t="s">
        <v>9181</v>
      </c>
      <c r="R954" s="73" t="s">
        <v>9185</v>
      </c>
      <c r="S954" s="74" t="s">
        <v>16</v>
      </c>
      <c r="T954" s="838" t="s">
        <v>24</v>
      </c>
      <c r="U954" s="92" t="s">
        <v>9188</v>
      </c>
      <c r="V954" s="92" t="s">
        <v>9187</v>
      </c>
      <c r="W954" s="92" t="s">
        <v>37</v>
      </c>
      <c r="X954" s="93">
        <v>44414</v>
      </c>
      <c r="Y954" s="92"/>
      <c r="Z954" s="368"/>
      <c r="AA954" s="1108"/>
    </row>
    <row r="955" spans="1:27" ht="65.25" thickBot="1" x14ac:dyDescent="0.3">
      <c r="A955" s="488"/>
      <c r="B955" s="131"/>
      <c r="C955" s="75"/>
      <c r="D955" s="568"/>
      <c r="E955" s="568"/>
      <c r="F955" s="143"/>
      <c r="G955" s="75"/>
      <c r="H955" s="75"/>
      <c r="I955" s="875"/>
      <c r="J955" s="75">
        <v>5520</v>
      </c>
      <c r="K955" s="76">
        <v>63</v>
      </c>
      <c r="L955" s="915">
        <v>1593536.5471000001</v>
      </c>
      <c r="M955" s="915">
        <v>5374852.6316</v>
      </c>
      <c r="N955" s="75" t="s">
        <v>9182</v>
      </c>
      <c r="O955" s="75" t="s">
        <v>5</v>
      </c>
      <c r="P955" s="75">
        <v>1</v>
      </c>
      <c r="Q955" s="75" t="s">
        <v>9182</v>
      </c>
      <c r="R955" s="76" t="s">
        <v>9185</v>
      </c>
      <c r="S955" s="77" t="s">
        <v>16</v>
      </c>
      <c r="T955" s="838" t="s">
        <v>24</v>
      </c>
      <c r="U955" s="92" t="s">
        <v>9188</v>
      </c>
      <c r="V955" s="92" t="s">
        <v>9187</v>
      </c>
      <c r="W955" s="92" t="s">
        <v>37</v>
      </c>
      <c r="X955" s="93">
        <v>44414</v>
      </c>
      <c r="Y955" s="92"/>
      <c r="Z955" s="368"/>
      <c r="AA955" s="1108"/>
    </row>
    <row r="956" spans="1:27" ht="65.25" thickBot="1" x14ac:dyDescent="0.3">
      <c r="A956" s="488"/>
      <c r="B956" s="131"/>
      <c r="C956" s="75"/>
      <c r="D956" s="568"/>
      <c r="E956" s="568"/>
      <c r="F956" s="143"/>
      <c r="G956" s="75"/>
      <c r="H956" s="75"/>
      <c r="I956" s="875"/>
      <c r="J956" s="75">
        <v>5521</v>
      </c>
      <c r="K956" s="76">
        <v>50</v>
      </c>
      <c r="L956" s="915">
        <v>1593539.2154000001</v>
      </c>
      <c r="M956" s="915">
        <v>5374829.1805999996</v>
      </c>
      <c r="N956" s="75" t="s">
        <v>9183</v>
      </c>
      <c r="O956" s="75" t="s">
        <v>5</v>
      </c>
      <c r="P956" s="75">
        <v>1</v>
      </c>
      <c r="Q956" s="75" t="s">
        <v>9183</v>
      </c>
      <c r="R956" s="76" t="s">
        <v>9185</v>
      </c>
      <c r="S956" s="77" t="s">
        <v>16</v>
      </c>
      <c r="T956" s="838" t="s">
        <v>24</v>
      </c>
      <c r="U956" s="92" t="s">
        <v>9188</v>
      </c>
      <c r="V956" s="92" t="s">
        <v>9187</v>
      </c>
      <c r="W956" s="92" t="s">
        <v>37</v>
      </c>
      <c r="X956" s="93">
        <v>44414</v>
      </c>
      <c r="Y956" s="92"/>
      <c r="Z956" s="368"/>
      <c r="AA956" s="1108"/>
    </row>
    <row r="957" spans="1:27" ht="65.25" thickBot="1" x14ac:dyDescent="0.3">
      <c r="A957" s="489"/>
      <c r="B957" s="133"/>
      <c r="C957" s="78"/>
      <c r="D957" s="569"/>
      <c r="E957" s="569"/>
      <c r="F957" s="144"/>
      <c r="G957" s="78"/>
      <c r="H957" s="78"/>
      <c r="I957" s="876"/>
      <c r="J957" s="78">
        <v>5522</v>
      </c>
      <c r="K957" s="79">
        <v>14</v>
      </c>
      <c r="L957" s="916">
        <v>1593367.7778</v>
      </c>
      <c r="M957" s="916">
        <v>5374776.9482000005</v>
      </c>
      <c r="N957" s="78" t="s">
        <v>9184</v>
      </c>
      <c r="O957" s="78" t="s">
        <v>5</v>
      </c>
      <c r="P957" s="78">
        <v>1</v>
      </c>
      <c r="Q957" s="78" t="s">
        <v>9184</v>
      </c>
      <c r="R957" s="79" t="s">
        <v>9185</v>
      </c>
      <c r="S957" s="80" t="s">
        <v>16</v>
      </c>
      <c r="T957" s="838" t="s">
        <v>24</v>
      </c>
      <c r="U957" s="92" t="s">
        <v>9188</v>
      </c>
      <c r="V957" s="92" t="s">
        <v>9187</v>
      </c>
      <c r="W957" s="92" t="s">
        <v>37</v>
      </c>
      <c r="X957" s="93">
        <v>44414</v>
      </c>
      <c r="Y957" s="92"/>
      <c r="Z957" s="368"/>
      <c r="AA957" s="1108"/>
    </row>
    <row r="958" spans="1:27" s="350" customFormat="1" ht="51.75" thickBot="1" x14ac:dyDescent="0.25">
      <c r="A958" s="1144" t="s">
        <v>388</v>
      </c>
      <c r="B958" s="1145" t="s">
        <v>7722</v>
      </c>
      <c r="C958" s="997">
        <v>557</v>
      </c>
      <c r="D958" s="996" t="s">
        <v>53</v>
      </c>
      <c r="E958" s="996" t="s">
        <v>57</v>
      </c>
      <c r="F958" s="998" t="s">
        <v>9124</v>
      </c>
      <c r="G958" s="998" t="s">
        <v>3061</v>
      </c>
      <c r="H958" s="997"/>
      <c r="I958" s="999"/>
      <c r="J958" s="1000">
        <v>5504</v>
      </c>
      <c r="K958" s="1033" t="s">
        <v>9122</v>
      </c>
      <c r="L958" s="1001">
        <v>1701077.6062</v>
      </c>
      <c r="M958" s="1001">
        <v>5418853.4219000004</v>
      </c>
      <c r="N958" s="1002" t="s">
        <v>9123</v>
      </c>
      <c r="O958" s="1002" t="s">
        <v>194</v>
      </c>
      <c r="P958" s="1002">
        <v>35</v>
      </c>
      <c r="Q958" s="1002" t="s">
        <v>9125</v>
      </c>
      <c r="R958" s="1003" t="s">
        <v>9126</v>
      </c>
      <c r="S958" s="1004" t="s">
        <v>16</v>
      </c>
      <c r="T958" s="446" t="s">
        <v>6013</v>
      </c>
      <c r="U958" s="208" t="s">
        <v>9127</v>
      </c>
      <c r="V958" s="208" t="s">
        <v>7720</v>
      </c>
      <c r="W958" s="208" t="s">
        <v>37</v>
      </c>
      <c r="X958" s="209">
        <v>44412</v>
      </c>
      <c r="Y958" s="208"/>
      <c r="Z958" s="364"/>
      <c r="AA958" s="1109"/>
    </row>
    <row r="959" spans="1:27" s="869" customFormat="1" ht="39.75" thickBot="1" x14ac:dyDescent="0.3">
      <c r="A959" s="1146" t="s">
        <v>7982</v>
      </c>
      <c r="B959" s="1147" t="s">
        <v>2054</v>
      </c>
      <c r="C959" s="821">
        <v>716</v>
      </c>
      <c r="D959" s="864" t="s">
        <v>52</v>
      </c>
      <c r="E959" s="864" t="s">
        <v>53</v>
      </c>
      <c r="F959" s="822" t="s">
        <v>567</v>
      </c>
      <c r="G959" s="822" t="s">
        <v>1973</v>
      </c>
      <c r="H959" s="821"/>
      <c r="I959" s="864"/>
      <c r="J959" s="829">
        <v>4086</v>
      </c>
      <c r="K959" s="831" t="s">
        <v>6737</v>
      </c>
      <c r="L959" s="989">
        <v>1390355.026117</v>
      </c>
      <c r="M959" s="989">
        <v>5051303.5290360004</v>
      </c>
      <c r="N959" s="830" t="s">
        <v>7976</v>
      </c>
      <c r="O959" s="830" t="s">
        <v>193</v>
      </c>
      <c r="P959" s="830">
        <v>2</v>
      </c>
      <c r="Q959" s="823" t="s">
        <v>9238</v>
      </c>
      <c r="R959" s="831" t="s">
        <v>7977</v>
      </c>
      <c r="S959" s="832" t="s">
        <v>16</v>
      </c>
      <c r="T959" s="833" t="s">
        <v>7978</v>
      </c>
      <c r="U959" s="92" t="s">
        <v>9239</v>
      </c>
      <c r="V959" s="92" t="s">
        <v>2061</v>
      </c>
      <c r="W959" s="92" t="s">
        <v>6372</v>
      </c>
      <c r="X959" s="93">
        <v>44418</v>
      </c>
      <c r="Y959" s="92"/>
      <c r="Z959" s="93">
        <v>44418</v>
      </c>
      <c r="AA959" s="1108" t="s">
        <v>37</v>
      </c>
    </row>
    <row r="960" spans="1:27" s="869" customFormat="1" ht="52.5" thickBot="1" x14ac:dyDescent="0.3">
      <c r="A960" s="1148"/>
      <c r="B960" s="1149"/>
      <c r="C960" s="823"/>
      <c r="D960" s="865"/>
      <c r="E960" s="865"/>
      <c r="F960" s="824"/>
      <c r="G960" s="823"/>
      <c r="H960" s="823"/>
      <c r="I960" s="865"/>
      <c r="J960" s="825">
        <v>4088</v>
      </c>
      <c r="K960" s="826" t="s">
        <v>7983</v>
      </c>
      <c r="L960" s="990">
        <v>1390250.9962460001</v>
      </c>
      <c r="M960" s="990">
        <v>5051428.6348740002</v>
      </c>
      <c r="N960" s="823" t="s">
        <v>7979</v>
      </c>
      <c r="O960" s="823" t="s">
        <v>194</v>
      </c>
      <c r="P960" s="823">
        <v>12</v>
      </c>
      <c r="Q960" s="823" t="s">
        <v>8934</v>
      </c>
      <c r="R960" s="826" t="s">
        <v>8935</v>
      </c>
      <c r="S960" s="827" t="s">
        <v>85</v>
      </c>
      <c r="T960" s="853" t="s">
        <v>7980</v>
      </c>
      <c r="U960" s="52" t="s">
        <v>7981</v>
      </c>
      <c r="V960" s="52" t="s">
        <v>2061</v>
      </c>
      <c r="W960" s="52" t="s">
        <v>6372</v>
      </c>
      <c r="X960" s="53">
        <v>44294</v>
      </c>
      <c r="Y960" s="52"/>
      <c r="Z960" s="53">
        <v>44379</v>
      </c>
      <c r="AA960" s="653" t="s">
        <v>37</v>
      </c>
    </row>
    <row r="961" spans="1:27" s="350" customFormat="1" ht="38.25" x14ac:dyDescent="0.2">
      <c r="A961" s="487" t="s">
        <v>5186</v>
      </c>
      <c r="B961" s="128" t="s">
        <v>5186</v>
      </c>
      <c r="C961" s="72">
        <v>391</v>
      </c>
      <c r="D961" s="586" t="s">
        <v>53</v>
      </c>
      <c r="E961" s="586" t="s">
        <v>52</v>
      </c>
      <c r="F961" s="140" t="s">
        <v>567</v>
      </c>
      <c r="G961" s="72" t="s">
        <v>1972</v>
      </c>
      <c r="H961" s="72"/>
      <c r="I961" s="128"/>
      <c r="J961" s="187">
        <v>5369</v>
      </c>
      <c r="K961" s="65" t="s">
        <v>8612</v>
      </c>
      <c r="L961" s="914">
        <v>1859800.1344000001</v>
      </c>
      <c r="M961" s="914">
        <v>5492782.9881999996</v>
      </c>
      <c r="N961" s="369" t="s">
        <v>5187</v>
      </c>
      <c r="O961" s="129" t="s">
        <v>61</v>
      </c>
      <c r="P961" s="129" t="s">
        <v>419</v>
      </c>
      <c r="Q961" s="72" t="s">
        <v>8638</v>
      </c>
      <c r="R961" s="73" t="s">
        <v>8595</v>
      </c>
      <c r="S961" s="266" t="s">
        <v>16</v>
      </c>
      <c r="T961" s="899" t="s">
        <v>8589</v>
      </c>
      <c r="U961" s="30" t="s">
        <v>8642</v>
      </c>
      <c r="V961" s="30" t="s">
        <v>8637</v>
      </c>
      <c r="W961" s="30" t="s">
        <v>37</v>
      </c>
      <c r="X961" s="900">
        <v>44398</v>
      </c>
      <c r="Y961" s="152"/>
      <c r="Z961" s="361"/>
      <c r="AA961" s="1112"/>
    </row>
    <row r="962" spans="1:27" s="350" customFormat="1" ht="38.25" x14ac:dyDescent="0.2">
      <c r="A962" s="488"/>
      <c r="B962" s="131"/>
      <c r="C962" s="75"/>
      <c r="D962" s="568"/>
      <c r="E962" s="568"/>
      <c r="F962" s="143"/>
      <c r="G962" s="75"/>
      <c r="H962" s="75"/>
      <c r="I962" s="131"/>
      <c r="J962" s="188">
        <v>5370</v>
      </c>
      <c r="K962" s="695" t="s">
        <v>8613</v>
      </c>
      <c r="L962" s="915">
        <v>1858299.4413999999</v>
      </c>
      <c r="M962" s="915">
        <v>5491582.7132999999</v>
      </c>
      <c r="N962" s="560" t="s">
        <v>8623</v>
      </c>
      <c r="O962" s="75" t="s">
        <v>5</v>
      </c>
      <c r="P962" s="75">
        <v>1</v>
      </c>
      <c r="Q962" s="560" t="s">
        <v>8928</v>
      </c>
      <c r="R962" s="76" t="s">
        <v>8594</v>
      </c>
      <c r="S962" s="601" t="s">
        <v>85</v>
      </c>
      <c r="T962" s="901" t="s">
        <v>604</v>
      </c>
      <c r="U962" s="45" t="s">
        <v>8643</v>
      </c>
      <c r="V962" s="45" t="s">
        <v>8637</v>
      </c>
      <c r="W962" s="45" t="s">
        <v>37</v>
      </c>
      <c r="X962" s="895">
        <v>44398</v>
      </c>
      <c r="Y962" s="137"/>
      <c r="Z962" s="358"/>
      <c r="AA962" s="1110"/>
    </row>
    <row r="963" spans="1:27" s="350" customFormat="1" ht="38.25" x14ac:dyDescent="0.2">
      <c r="A963" s="488"/>
      <c r="B963" s="131"/>
      <c r="C963" s="75"/>
      <c r="D963" s="568"/>
      <c r="E963" s="568"/>
      <c r="F963" s="143"/>
      <c r="G963" s="75"/>
      <c r="H963" s="75"/>
      <c r="I963" s="131"/>
      <c r="J963" s="188">
        <v>5371</v>
      </c>
      <c r="K963" s="695" t="s">
        <v>8614</v>
      </c>
      <c r="L963" s="915">
        <v>1858699.6351000001</v>
      </c>
      <c r="M963" s="915">
        <v>5491982.8152999999</v>
      </c>
      <c r="N963" s="563" t="s">
        <v>8608</v>
      </c>
      <c r="O963" s="118" t="s">
        <v>61</v>
      </c>
      <c r="P963" s="118" t="s">
        <v>419</v>
      </c>
      <c r="Q963" s="75" t="s">
        <v>8639</v>
      </c>
      <c r="R963" s="76" t="s">
        <v>8595</v>
      </c>
      <c r="S963" s="601" t="s">
        <v>85</v>
      </c>
      <c r="T963" s="901" t="s">
        <v>24</v>
      </c>
      <c r="U963" s="45" t="s">
        <v>8643</v>
      </c>
      <c r="V963" s="45" t="s">
        <v>8637</v>
      </c>
      <c r="W963" s="45" t="s">
        <v>37</v>
      </c>
      <c r="X963" s="895">
        <v>44398</v>
      </c>
      <c r="Y963" s="137"/>
      <c r="Z963" s="358"/>
      <c r="AA963" s="1110"/>
    </row>
    <row r="964" spans="1:27" s="350" customFormat="1" ht="38.25" x14ac:dyDescent="0.2">
      <c r="A964" s="488"/>
      <c r="B964" s="131"/>
      <c r="C964" s="75"/>
      <c r="D964" s="568"/>
      <c r="E964" s="568"/>
      <c r="F964" s="143"/>
      <c r="G964" s="75"/>
      <c r="H964" s="75"/>
      <c r="I964" s="131"/>
      <c r="J964" s="188">
        <v>5372</v>
      </c>
      <c r="K964" s="695" t="s">
        <v>8615</v>
      </c>
      <c r="L964" s="915">
        <v>1859199.8415999999</v>
      </c>
      <c r="M964" s="915">
        <v>5492182.8316000002</v>
      </c>
      <c r="N964" s="560" t="s">
        <v>5536</v>
      </c>
      <c r="O964" s="118" t="s">
        <v>5</v>
      </c>
      <c r="P964" s="75">
        <v>1</v>
      </c>
      <c r="Q964" s="560" t="s">
        <v>8929</v>
      </c>
      <c r="R964" s="76" t="s">
        <v>8594</v>
      </c>
      <c r="S964" s="601" t="s">
        <v>85</v>
      </c>
      <c r="T964" s="901" t="s">
        <v>8589</v>
      </c>
      <c r="U964" s="45" t="s">
        <v>8644</v>
      </c>
      <c r="V964" s="45" t="s">
        <v>8637</v>
      </c>
      <c r="W964" s="45" t="s">
        <v>37</v>
      </c>
      <c r="X964" s="895">
        <v>44398</v>
      </c>
      <c r="Y964" s="137"/>
      <c r="Z964" s="358"/>
      <c r="AA964" s="1110"/>
    </row>
    <row r="965" spans="1:27" s="350" customFormat="1" ht="38.25" x14ac:dyDescent="0.2">
      <c r="A965" s="488"/>
      <c r="B965" s="131"/>
      <c r="C965" s="75"/>
      <c r="D965" s="568"/>
      <c r="E965" s="568"/>
      <c r="F965" s="143"/>
      <c r="G965" s="75"/>
      <c r="H965" s="75"/>
      <c r="I965" s="131"/>
      <c r="J965" s="188">
        <v>5373</v>
      </c>
      <c r="K965" s="695" t="s">
        <v>8616</v>
      </c>
      <c r="L965" s="915">
        <v>1859299.8903000001</v>
      </c>
      <c r="M965" s="915">
        <v>5492282.8574999999</v>
      </c>
      <c r="N965" s="560" t="s">
        <v>8624</v>
      </c>
      <c r="O965" s="75" t="s">
        <v>5</v>
      </c>
      <c r="P965" s="75">
        <v>1</v>
      </c>
      <c r="Q965" s="560" t="s">
        <v>8930</v>
      </c>
      <c r="R965" s="76" t="s">
        <v>8594</v>
      </c>
      <c r="S965" s="601" t="s">
        <v>85</v>
      </c>
      <c r="T965" s="901" t="s">
        <v>8589</v>
      </c>
      <c r="U965" s="45" t="s">
        <v>8644</v>
      </c>
      <c r="V965" s="45" t="s">
        <v>8637</v>
      </c>
      <c r="W965" s="45" t="s">
        <v>37</v>
      </c>
      <c r="X965" s="895">
        <v>44398</v>
      </c>
      <c r="Y965" s="137"/>
      <c r="Z965" s="358"/>
      <c r="AA965" s="1110"/>
    </row>
    <row r="966" spans="1:27" s="350" customFormat="1" ht="38.25" x14ac:dyDescent="0.2">
      <c r="A966" s="488"/>
      <c r="B966" s="131"/>
      <c r="C966" s="75"/>
      <c r="D966" s="568"/>
      <c r="E966" s="568"/>
      <c r="F966" s="143"/>
      <c r="G966" s="75"/>
      <c r="H966" s="75"/>
      <c r="I966" s="131"/>
      <c r="J966" s="188">
        <v>5374</v>
      </c>
      <c r="K966" s="695" t="s">
        <v>8617</v>
      </c>
      <c r="L966" s="915">
        <v>1862701.4864000001</v>
      </c>
      <c r="M966" s="915">
        <v>5494983.5072999997</v>
      </c>
      <c r="N966" s="560" t="s">
        <v>8625</v>
      </c>
      <c r="O966" s="75" t="s">
        <v>5</v>
      </c>
      <c r="P966" s="75">
        <v>1</v>
      </c>
      <c r="Q966" s="560" t="s">
        <v>8931</v>
      </c>
      <c r="R966" s="76" t="s">
        <v>8594</v>
      </c>
      <c r="S966" s="601" t="s">
        <v>85</v>
      </c>
      <c r="T966" s="901" t="s">
        <v>8589</v>
      </c>
      <c r="U966" s="45" t="s">
        <v>8646</v>
      </c>
      <c r="V966" s="45" t="s">
        <v>8637</v>
      </c>
      <c r="W966" s="45" t="s">
        <v>37</v>
      </c>
      <c r="X966" s="895">
        <v>44398</v>
      </c>
      <c r="Y966" s="137"/>
      <c r="Z966" s="358"/>
      <c r="AA966" s="1110"/>
    </row>
    <row r="967" spans="1:27" s="350" customFormat="1" ht="25.5" x14ac:dyDescent="0.2">
      <c r="A967" s="488"/>
      <c r="B967" s="131"/>
      <c r="C967" s="75"/>
      <c r="D967" s="568"/>
      <c r="E967" s="568"/>
      <c r="F967" s="143"/>
      <c r="G967" s="75"/>
      <c r="H967" s="75"/>
      <c r="I967" s="131"/>
      <c r="J967" s="188">
        <v>5375</v>
      </c>
      <c r="K967" s="695" t="s">
        <v>8618</v>
      </c>
      <c r="L967" s="915">
        <v>1860300.3555000001</v>
      </c>
      <c r="M967" s="915">
        <v>5493083.0443000002</v>
      </c>
      <c r="N967" s="143" t="s">
        <v>8626</v>
      </c>
      <c r="O967" s="75" t="s">
        <v>194</v>
      </c>
      <c r="P967" s="75">
        <v>1</v>
      </c>
      <c r="Q967" s="143" t="s">
        <v>8932</v>
      </c>
      <c r="R967" s="76" t="s">
        <v>8641</v>
      </c>
      <c r="S967" s="601" t="s">
        <v>85</v>
      </c>
      <c r="T967" s="901" t="s">
        <v>8645</v>
      </c>
      <c r="U967" s="45" t="s">
        <v>8647</v>
      </c>
      <c r="V967" s="45" t="s">
        <v>8637</v>
      </c>
      <c r="W967" s="45" t="s">
        <v>37</v>
      </c>
      <c r="X967" s="895">
        <v>44398</v>
      </c>
      <c r="Y967" s="137"/>
      <c r="Z967" s="358"/>
      <c r="AA967" s="1110"/>
    </row>
    <row r="968" spans="1:27" s="350" customFormat="1" ht="25.5" x14ac:dyDescent="0.2">
      <c r="A968" s="488"/>
      <c r="B968" s="131"/>
      <c r="C968" s="75"/>
      <c r="D968" s="568"/>
      <c r="E968" s="568"/>
      <c r="F968" s="143"/>
      <c r="G968" s="75"/>
      <c r="H968" s="75"/>
      <c r="I968" s="131"/>
      <c r="J968" s="188">
        <v>5376</v>
      </c>
      <c r="K968" s="695" t="s">
        <v>8619</v>
      </c>
      <c r="L968" s="915">
        <v>1860500.4657999999</v>
      </c>
      <c r="M968" s="915">
        <v>5493383.1359999999</v>
      </c>
      <c r="N968" s="560" t="s">
        <v>4204</v>
      </c>
      <c r="O968" s="75" t="s">
        <v>194</v>
      </c>
      <c r="P968" s="75">
        <v>1</v>
      </c>
      <c r="Q968" s="560" t="s">
        <v>8933</v>
      </c>
      <c r="R968" s="76" t="s">
        <v>8641</v>
      </c>
      <c r="S968" s="601" t="s">
        <v>85</v>
      </c>
      <c r="T968" s="901" t="s">
        <v>8645</v>
      </c>
      <c r="U968" s="45" t="s">
        <v>8647</v>
      </c>
      <c r="V968" s="45" t="s">
        <v>8637</v>
      </c>
      <c r="W968" s="45" t="s">
        <v>37</v>
      </c>
      <c r="X968" s="895">
        <v>44398</v>
      </c>
      <c r="Y968" s="137"/>
      <c r="Z968" s="358"/>
      <c r="AA968" s="1110"/>
    </row>
    <row r="969" spans="1:27" s="350" customFormat="1" ht="25.5" x14ac:dyDescent="0.2">
      <c r="A969" s="488"/>
      <c r="B969" s="131"/>
      <c r="C969" s="75"/>
      <c r="D969" s="568"/>
      <c r="E969" s="568"/>
      <c r="F969" s="143"/>
      <c r="G969" s="75"/>
      <c r="H969" s="75"/>
      <c r="I969" s="131"/>
      <c r="J969" s="188">
        <v>5377</v>
      </c>
      <c r="K969" s="695" t="s">
        <v>8620</v>
      </c>
      <c r="L969" s="915">
        <v>1861200.7753000001</v>
      </c>
      <c r="M969" s="915">
        <v>5493783.2093000002</v>
      </c>
      <c r="N969" s="143" t="s">
        <v>8627</v>
      </c>
      <c r="O969" s="75" t="s">
        <v>194</v>
      </c>
      <c r="P969" s="75">
        <v>1</v>
      </c>
      <c r="Q969" s="143" t="s">
        <v>1662</v>
      </c>
      <c r="R969" s="76" t="s">
        <v>8641</v>
      </c>
      <c r="S969" s="601" t="s">
        <v>85</v>
      </c>
      <c r="T969" s="901" t="s">
        <v>8645</v>
      </c>
      <c r="U969" s="45" t="s">
        <v>8647</v>
      </c>
      <c r="V969" s="45" t="s">
        <v>8637</v>
      </c>
      <c r="W969" s="45" t="s">
        <v>37</v>
      </c>
      <c r="X969" s="895">
        <v>44398</v>
      </c>
      <c r="Y969" s="137"/>
      <c r="Z969" s="358"/>
      <c r="AA969" s="1110"/>
    </row>
    <row r="970" spans="1:27" s="350" customFormat="1" ht="38.25" x14ac:dyDescent="0.2">
      <c r="A970" s="488"/>
      <c r="B970" s="131"/>
      <c r="C970" s="75"/>
      <c r="D970" s="568"/>
      <c r="E970" s="568"/>
      <c r="F970" s="143"/>
      <c r="G970" s="75"/>
      <c r="H970" s="75"/>
      <c r="I970" s="131"/>
      <c r="J970" s="188">
        <v>5378</v>
      </c>
      <c r="K970" s="695" t="s">
        <v>8621</v>
      </c>
      <c r="L970" s="915">
        <v>1866903.4978</v>
      </c>
      <c r="M970" s="915">
        <v>5498084.3000999996</v>
      </c>
      <c r="N970" s="497" t="s">
        <v>8628</v>
      </c>
      <c r="O970" s="118" t="s">
        <v>61</v>
      </c>
      <c r="P970" s="118" t="s">
        <v>419</v>
      </c>
      <c r="Q970" s="75" t="s">
        <v>8640</v>
      </c>
      <c r="R970" s="76" t="s">
        <v>8595</v>
      </c>
      <c r="S970" s="601" t="s">
        <v>85</v>
      </c>
      <c r="T970" s="901" t="s">
        <v>341</v>
      </c>
      <c r="U970" s="45" t="s">
        <v>8643</v>
      </c>
      <c r="V970" s="45" t="s">
        <v>8637</v>
      </c>
      <c r="W970" s="45" t="s">
        <v>37</v>
      </c>
      <c r="X970" s="895">
        <v>44398</v>
      </c>
      <c r="Y970" s="137"/>
      <c r="Z970" s="358"/>
      <c r="AA970" s="1110"/>
    </row>
    <row r="971" spans="1:27" s="350" customFormat="1" ht="26.25" thickBot="1" x14ac:dyDescent="0.25">
      <c r="A971" s="489"/>
      <c r="B971" s="133"/>
      <c r="C971" s="78"/>
      <c r="D971" s="569"/>
      <c r="E971" s="569"/>
      <c r="F971" s="144"/>
      <c r="G971" s="78"/>
      <c r="H971" s="78"/>
      <c r="I971" s="133"/>
      <c r="J971" s="192">
        <v>5379</v>
      </c>
      <c r="K971" s="70" t="s">
        <v>8622</v>
      </c>
      <c r="L971" s="916">
        <v>1865602.9073999999</v>
      </c>
      <c r="M971" s="916">
        <v>5497484.1939000003</v>
      </c>
      <c r="N971" s="144" t="s">
        <v>1254</v>
      </c>
      <c r="O971" s="78" t="s">
        <v>194</v>
      </c>
      <c r="P971" s="78">
        <v>1</v>
      </c>
      <c r="Q971" s="144" t="s">
        <v>1454</v>
      </c>
      <c r="R971" s="79" t="s">
        <v>8641</v>
      </c>
      <c r="S971" s="267" t="s">
        <v>85</v>
      </c>
      <c r="T971" s="853" t="s">
        <v>341</v>
      </c>
      <c r="U971" s="51" t="s">
        <v>8647</v>
      </c>
      <c r="V971" s="51" t="s">
        <v>8637</v>
      </c>
      <c r="W971" s="51" t="s">
        <v>37</v>
      </c>
      <c r="X971" s="902">
        <v>44398</v>
      </c>
      <c r="Y971" s="155"/>
      <c r="Z971" s="362"/>
      <c r="AA971" s="1111"/>
    </row>
    <row r="972" spans="1:27" s="869" customFormat="1" ht="65.25" thickBot="1" x14ac:dyDescent="0.3">
      <c r="A972" s="487" t="s">
        <v>50</v>
      </c>
      <c r="B972" s="128" t="s">
        <v>6832</v>
      </c>
      <c r="C972" s="72">
        <v>285</v>
      </c>
      <c r="D972" s="586" t="s">
        <v>53</v>
      </c>
      <c r="E972" s="586" t="s">
        <v>57</v>
      </c>
      <c r="F972" s="140" t="s">
        <v>155</v>
      </c>
      <c r="G972" s="140" t="s">
        <v>8004</v>
      </c>
      <c r="H972" s="72" t="s">
        <v>8926</v>
      </c>
      <c r="I972" s="381" t="s">
        <v>8925</v>
      </c>
      <c r="J972" s="83">
        <v>1350</v>
      </c>
      <c r="K972" s="360" t="s">
        <v>8137</v>
      </c>
      <c r="L972" s="198">
        <v>1777590.3747</v>
      </c>
      <c r="M972" s="198">
        <v>5448644.3350999998</v>
      </c>
      <c r="N972" s="83" t="s">
        <v>8138</v>
      </c>
      <c r="O972" s="83" t="s">
        <v>5</v>
      </c>
      <c r="P972" s="83">
        <v>1</v>
      </c>
      <c r="Q972" s="840" t="s">
        <v>8919</v>
      </c>
      <c r="R972" s="360" t="s">
        <v>8061</v>
      </c>
      <c r="S972" s="88" t="s">
        <v>16</v>
      </c>
      <c r="T972" s="843" t="s">
        <v>604</v>
      </c>
      <c r="U972" s="292" t="s">
        <v>8139</v>
      </c>
      <c r="V972" s="92" t="s">
        <v>78</v>
      </c>
      <c r="W972" s="834" t="s">
        <v>1380</v>
      </c>
      <c r="X972" s="93">
        <v>44362</v>
      </c>
      <c r="Y972" s="92"/>
      <c r="Z972" s="93">
        <v>44364</v>
      </c>
      <c r="AA972" s="1108" t="s">
        <v>37</v>
      </c>
    </row>
    <row r="973" spans="1:27" s="869" customFormat="1" ht="65.25" thickBot="1" x14ac:dyDescent="0.3">
      <c r="A973" s="488"/>
      <c r="B973" s="131"/>
      <c r="C973" s="75"/>
      <c r="D973" s="568"/>
      <c r="E973" s="568"/>
      <c r="F973" s="75"/>
      <c r="G973" s="75"/>
      <c r="H973" s="75"/>
      <c r="I973" s="121"/>
      <c r="J973" s="83">
        <v>1351</v>
      </c>
      <c r="K973" s="360" t="s">
        <v>8140</v>
      </c>
      <c r="L973" s="198">
        <v>1777554.2185</v>
      </c>
      <c r="M973" s="198">
        <v>5448625.1529000001</v>
      </c>
      <c r="N973" s="83" t="s">
        <v>8141</v>
      </c>
      <c r="O973" s="83" t="s">
        <v>5</v>
      </c>
      <c r="P973" s="83">
        <v>1</v>
      </c>
      <c r="Q973" s="83" t="s">
        <v>8920</v>
      </c>
      <c r="R973" s="360" t="s">
        <v>8061</v>
      </c>
      <c r="S973" s="88" t="s">
        <v>10</v>
      </c>
      <c r="T973" s="833" t="s">
        <v>24</v>
      </c>
      <c r="U973" s="94" t="s">
        <v>8142</v>
      </c>
      <c r="V973" s="92" t="s">
        <v>78</v>
      </c>
      <c r="W973" s="834" t="s">
        <v>1380</v>
      </c>
      <c r="X973" s="93">
        <v>44362</v>
      </c>
      <c r="Y973" s="92"/>
      <c r="Z973" s="93">
        <v>44364</v>
      </c>
      <c r="AA973" s="1108" t="s">
        <v>37</v>
      </c>
    </row>
    <row r="974" spans="1:27" s="869" customFormat="1" ht="65.25" thickBot="1" x14ac:dyDescent="0.3">
      <c r="A974" s="488"/>
      <c r="B974" s="131"/>
      <c r="C974" s="75"/>
      <c r="D974" s="568"/>
      <c r="E974" s="568"/>
      <c r="F974" s="75"/>
      <c r="G974" s="75"/>
      <c r="H974" s="75"/>
      <c r="I974" s="121"/>
      <c r="J974" s="83">
        <v>1352</v>
      </c>
      <c r="K974" s="360" t="s">
        <v>8143</v>
      </c>
      <c r="L974" s="198">
        <v>1777573.4007999999</v>
      </c>
      <c r="M974" s="198">
        <v>5448635.0086000003</v>
      </c>
      <c r="N974" s="83" t="s">
        <v>8144</v>
      </c>
      <c r="O974" s="83" t="s">
        <v>5</v>
      </c>
      <c r="P974" s="83">
        <v>1</v>
      </c>
      <c r="Q974" s="83" t="s">
        <v>8921</v>
      </c>
      <c r="R974" s="360" t="s">
        <v>8061</v>
      </c>
      <c r="S974" s="88" t="s">
        <v>10</v>
      </c>
      <c r="T974" s="833" t="s">
        <v>24</v>
      </c>
      <c r="U974" s="94" t="s">
        <v>8142</v>
      </c>
      <c r="V974" s="92" t="s">
        <v>78</v>
      </c>
      <c r="W974" s="834" t="s">
        <v>1380</v>
      </c>
      <c r="X974" s="93">
        <v>44362</v>
      </c>
      <c r="Y974" s="92"/>
      <c r="Z974" s="93">
        <v>44364</v>
      </c>
      <c r="AA974" s="1108" t="s">
        <v>37</v>
      </c>
    </row>
    <row r="975" spans="1:27" s="869" customFormat="1" ht="65.25" thickBot="1" x14ac:dyDescent="0.3">
      <c r="A975" s="488"/>
      <c r="B975" s="131"/>
      <c r="C975" s="75"/>
      <c r="D975" s="568"/>
      <c r="E975" s="568"/>
      <c r="F975" s="75"/>
      <c r="G975" s="75"/>
      <c r="H975" s="75"/>
      <c r="I975" s="121"/>
      <c r="J975" s="83">
        <v>1353</v>
      </c>
      <c r="K975" s="360" t="s">
        <v>8145</v>
      </c>
      <c r="L975" s="198">
        <v>1777565.1327</v>
      </c>
      <c r="M975" s="198">
        <v>5448630.9737</v>
      </c>
      <c r="N975" s="83" t="s">
        <v>8146</v>
      </c>
      <c r="O975" s="83" t="s">
        <v>5</v>
      </c>
      <c r="P975" s="83">
        <v>1</v>
      </c>
      <c r="Q975" s="83" t="s">
        <v>8922</v>
      </c>
      <c r="R975" s="360" t="s">
        <v>8061</v>
      </c>
      <c r="S975" s="88" t="s">
        <v>10</v>
      </c>
      <c r="T975" s="833" t="s">
        <v>24</v>
      </c>
      <c r="U975" s="94" t="s">
        <v>8142</v>
      </c>
      <c r="V975" s="92" t="s">
        <v>78</v>
      </c>
      <c r="W975" s="834" t="s">
        <v>1380</v>
      </c>
      <c r="X975" s="93">
        <v>44362</v>
      </c>
      <c r="Y975" s="92"/>
      <c r="Z975" s="93">
        <v>44364</v>
      </c>
      <c r="AA975" s="1108" t="s">
        <v>37</v>
      </c>
    </row>
    <row r="976" spans="1:27" s="869" customFormat="1" ht="65.25" thickBot="1" x14ac:dyDescent="0.3">
      <c r="A976" s="488"/>
      <c r="B976" s="131"/>
      <c r="C976" s="75"/>
      <c r="D976" s="568"/>
      <c r="E976" s="568"/>
      <c r="F976" s="75"/>
      <c r="G976" s="75"/>
      <c r="H976" s="75"/>
      <c r="I976" s="121"/>
      <c r="J976" s="83">
        <v>1354</v>
      </c>
      <c r="K976" s="360" t="s">
        <v>8147</v>
      </c>
      <c r="L976" s="198">
        <v>1777608.1936000001</v>
      </c>
      <c r="M976" s="198">
        <v>5448651.8097000001</v>
      </c>
      <c r="N976" s="83" t="s">
        <v>3852</v>
      </c>
      <c r="O976" s="83" t="s">
        <v>5</v>
      </c>
      <c r="P976" s="83">
        <v>1</v>
      </c>
      <c r="Q976" s="83" t="s">
        <v>8923</v>
      </c>
      <c r="R976" s="360" t="s">
        <v>8061</v>
      </c>
      <c r="S976" s="88" t="s">
        <v>10</v>
      </c>
      <c r="T976" s="833" t="s">
        <v>401</v>
      </c>
      <c r="U976" s="94" t="s">
        <v>8148</v>
      </c>
      <c r="V976" s="92" t="s">
        <v>78</v>
      </c>
      <c r="W976" s="834" t="s">
        <v>1380</v>
      </c>
      <c r="X976" s="93">
        <v>44362</v>
      </c>
      <c r="Y976" s="92"/>
      <c r="Z976" s="93">
        <v>44364</v>
      </c>
      <c r="AA976" s="1108" t="s">
        <v>37</v>
      </c>
    </row>
    <row r="977" spans="1:27" s="869" customFormat="1" ht="52.5" thickBot="1" x14ac:dyDescent="0.3">
      <c r="A977" s="489"/>
      <c r="B977" s="133"/>
      <c r="C977" s="78"/>
      <c r="D977" s="569"/>
      <c r="E977" s="569"/>
      <c r="F977" s="144"/>
      <c r="G977" s="78"/>
      <c r="H977" s="78"/>
      <c r="I977" s="876"/>
      <c r="J977" s="87"/>
      <c r="K977" s="360" t="s">
        <v>8924</v>
      </c>
      <c r="L977" s="198">
        <v>1777825.767129</v>
      </c>
      <c r="M977" s="198">
        <v>5448762.3879209999</v>
      </c>
      <c r="N977" s="83" t="s">
        <v>75</v>
      </c>
      <c r="O977" s="83" t="s">
        <v>5</v>
      </c>
      <c r="P977" s="83">
        <v>13</v>
      </c>
      <c r="Q977" s="83" t="s">
        <v>8926</v>
      </c>
      <c r="R977" s="360" t="s">
        <v>8927</v>
      </c>
      <c r="S977" s="88" t="s">
        <v>10</v>
      </c>
      <c r="T977" s="446" t="s">
        <v>76</v>
      </c>
      <c r="U977" s="207" t="s">
        <v>77</v>
      </c>
      <c r="V977" s="208" t="s">
        <v>79</v>
      </c>
      <c r="W977" s="208" t="s">
        <v>37</v>
      </c>
      <c r="X977" s="209">
        <v>43957</v>
      </c>
      <c r="Y977" s="208"/>
      <c r="Z977" s="364"/>
      <c r="AA977" s="1109"/>
    </row>
    <row r="978" spans="1:27" s="869" customFormat="1" ht="27" thickBot="1" x14ac:dyDescent="0.3">
      <c r="A978" s="341" t="s">
        <v>1831</v>
      </c>
      <c r="B978" s="181" t="s">
        <v>6833</v>
      </c>
      <c r="C978" s="125">
        <v>275</v>
      </c>
      <c r="D978" s="585" t="s">
        <v>53</v>
      </c>
      <c r="E978" s="585" t="s">
        <v>52</v>
      </c>
      <c r="F978" s="125" t="s">
        <v>8149</v>
      </c>
      <c r="G978" s="125" t="s">
        <v>6836</v>
      </c>
      <c r="H978" s="585"/>
      <c r="I978" s="879"/>
      <c r="J978" s="89">
        <v>1356</v>
      </c>
      <c r="K978" s="396" t="s">
        <v>8150</v>
      </c>
      <c r="L978" s="265">
        <v>1826501.9151000001</v>
      </c>
      <c r="M978" s="265">
        <v>5512708.2598999999</v>
      </c>
      <c r="N978" s="109" t="s">
        <v>8151</v>
      </c>
      <c r="O978" s="109" t="s">
        <v>61</v>
      </c>
      <c r="P978" s="109"/>
      <c r="Q978" s="84" t="s">
        <v>8152</v>
      </c>
      <c r="R978" s="396" t="s">
        <v>8153</v>
      </c>
      <c r="S978" s="90" t="s">
        <v>16</v>
      </c>
      <c r="T978" s="838" t="s">
        <v>24</v>
      </c>
      <c r="U978" s="92" t="s">
        <v>8154</v>
      </c>
      <c r="V978" s="92" t="s">
        <v>8155</v>
      </c>
      <c r="W978" s="834" t="s">
        <v>1380</v>
      </c>
      <c r="X978" s="93">
        <v>44394</v>
      </c>
      <c r="Y978" s="92"/>
      <c r="Z978" s="93">
        <v>44384</v>
      </c>
      <c r="AA978" s="1108" t="s">
        <v>37</v>
      </c>
    </row>
    <row r="979" spans="1:27" s="869" customFormat="1" ht="27" thickBot="1" x14ac:dyDescent="0.3">
      <c r="A979" s="844"/>
      <c r="B979" s="196"/>
      <c r="C979" s="96"/>
      <c r="D979" s="566"/>
      <c r="E979" s="566"/>
      <c r="F979" s="96"/>
      <c r="G979" s="96"/>
      <c r="H979" s="566"/>
      <c r="I979" s="881"/>
      <c r="J979" s="89">
        <v>1357</v>
      </c>
      <c r="K979" s="396" t="s">
        <v>8156</v>
      </c>
      <c r="L979" s="265">
        <v>1818830.2457999999</v>
      </c>
      <c r="M979" s="265">
        <v>5500091.1277000001</v>
      </c>
      <c r="N979" s="84" t="s">
        <v>3862</v>
      </c>
      <c r="O979" s="84" t="s">
        <v>5</v>
      </c>
      <c r="P979" s="109"/>
      <c r="Q979" s="414" t="s">
        <v>8468</v>
      </c>
      <c r="R979" s="396" t="s">
        <v>8157</v>
      </c>
      <c r="S979" s="90" t="s">
        <v>16</v>
      </c>
      <c r="T979" s="838" t="s">
        <v>5722</v>
      </c>
      <c r="U979" s="92" t="s">
        <v>8158</v>
      </c>
      <c r="V979" s="92" t="s">
        <v>8159</v>
      </c>
      <c r="W979" s="834" t="s">
        <v>1380</v>
      </c>
      <c r="X979" s="93">
        <v>44394</v>
      </c>
      <c r="Y979" s="92"/>
      <c r="Z979" s="93">
        <v>44384</v>
      </c>
      <c r="AA979" s="1108" t="s">
        <v>37</v>
      </c>
    </row>
    <row r="980" spans="1:27" ht="39.75" thickBot="1" x14ac:dyDescent="0.3">
      <c r="A980" s="1036" t="s">
        <v>2768</v>
      </c>
      <c r="B980" s="537" t="s">
        <v>6835</v>
      </c>
      <c r="C980" s="210">
        <v>268</v>
      </c>
      <c r="D980" s="587" t="s">
        <v>53</v>
      </c>
      <c r="E980" s="587" t="s">
        <v>57</v>
      </c>
      <c r="F980" s="385" t="s">
        <v>152</v>
      </c>
      <c r="G980" s="385" t="s">
        <v>3061</v>
      </c>
      <c r="H980" s="210"/>
      <c r="I980" s="1032"/>
      <c r="J980" s="263">
        <v>5500</v>
      </c>
      <c r="K980" s="467" t="s">
        <v>9102</v>
      </c>
      <c r="L980" s="918">
        <v>1945552.7008</v>
      </c>
      <c r="M980" s="918">
        <v>5718725.7452999996</v>
      </c>
      <c r="N980" s="210" t="s">
        <v>9108</v>
      </c>
      <c r="O980" s="210" t="s">
        <v>2047</v>
      </c>
      <c r="P980" s="210">
        <v>1</v>
      </c>
      <c r="Q980" s="210" t="s">
        <v>9240</v>
      </c>
      <c r="R980" s="467" t="s">
        <v>9111</v>
      </c>
      <c r="S980" s="400" t="s">
        <v>85</v>
      </c>
      <c r="T980" s="838" t="s">
        <v>9112</v>
      </c>
      <c r="U980" s="92" t="s">
        <v>9117</v>
      </c>
      <c r="V980" s="92" t="s">
        <v>4859</v>
      </c>
      <c r="W980" s="92" t="s">
        <v>37</v>
      </c>
      <c r="X980" s="93">
        <v>44412</v>
      </c>
      <c r="Y980" s="92"/>
      <c r="Z980" s="368"/>
      <c r="AA980" s="1108"/>
    </row>
    <row r="981" spans="1:27" ht="39.75" thickBot="1" x14ac:dyDescent="0.3">
      <c r="A981" s="341" t="s">
        <v>2768</v>
      </c>
      <c r="B981" s="181" t="s">
        <v>6834</v>
      </c>
      <c r="C981" s="125">
        <v>267</v>
      </c>
      <c r="D981" s="585" t="s">
        <v>57</v>
      </c>
      <c r="E981" s="585" t="s">
        <v>53</v>
      </c>
      <c r="F981" s="145" t="s">
        <v>9121</v>
      </c>
      <c r="G981" s="145" t="s">
        <v>4996</v>
      </c>
      <c r="H981" s="125"/>
      <c r="I981" s="879"/>
      <c r="J981" s="89">
        <v>5501</v>
      </c>
      <c r="K981" s="396" t="s">
        <v>9103</v>
      </c>
      <c r="L981" s="265">
        <v>1951836.3399</v>
      </c>
      <c r="M981" s="265">
        <v>5771272.4347999999</v>
      </c>
      <c r="N981" s="84" t="s">
        <v>9109</v>
      </c>
      <c r="O981" s="84" t="s">
        <v>2047</v>
      </c>
      <c r="P981" s="84">
        <v>1</v>
      </c>
      <c r="Q981" s="84" t="s">
        <v>9241</v>
      </c>
      <c r="R981" s="396" t="s">
        <v>9111</v>
      </c>
      <c r="S981" s="90" t="s">
        <v>85</v>
      </c>
      <c r="T981" s="838" t="s">
        <v>9112</v>
      </c>
      <c r="U981" s="92" t="s">
        <v>9120</v>
      </c>
      <c r="V981" s="92" t="s">
        <v>4859</v>
      </c>
      <c r="W981" s="92" t="s">
        <v>37</v>
      </c>
      <c r="X981" s="93">
        <v>44412</v>
      </c>
      <c r="Y981" s="92"/>
      <c r="Z981" s="368"/>
      <c r="AA981" s="1108"/>
    </row>
    <row r="982" spans="1:27" ht="27" thickBot="1" x14ac:dyDescent="0.3">
      <c r="A982" s="336"/>
      <c r="B982" s="196"/>
      <c r="C982" s="96"/>
      <c r="D982" s="566"/>
      <c r="E982" s="566"/>
      <c r="F982" s="147"/>
      <c r="G982" s="96"/>
      <c r="H982" s="96"/>
      <c r="I982" s="881"/>
      <c r="J982" s="89">
        <v>5503</v>
      </c>
      <c r="K982" s="396" t="s">
        <v>9105</v>
      </c>
      <c r="L982" s="265">
        <v>1950252.6577999999</v>
      </c>
      <c r="M982" s="265">
        <v>5757844.4276000001</v>
      </c>
      <c r="N982" s="84" t="s">
        <v>8338</v>
      </c>
      <c r="O982" s="84" t="s">
        <v>2047</v>
      </c>
      <c r="P982" s="84">
        <v>1</v>
      </c>
      <c r="Q982" s="84" t="s">
        <v>9242</v>
      </c>
      <c r="R982" s="396" t="s">
        <v>9111</v>
      </c>
      <c r="S982" s="90" t="s">
        <v>85</v>
      </c>
      <c r="T982" s="838" t="s">
        <v>9112</v>
      </c>
      <c r="U982" s="92" t="s">
        <v>9119</v>
      </c>
      <c r="V982" s="92" t="s">
        <v>4859</v>
      </c>
      <c r="W982" s="92" t="s">
        <v>37</v>
      </c>
      <c r="X982" s="93">
        <v>44412</v>
      </c>
      <c r="Y982" s="92"/>
      <c r="Z982" s="368"/>
      <c r="AA982" s="1108"/>
    </row>
    <row r="983" spans="1:27" s="869" customFormat="1" ht="65.25" thickBot="1" x14ac:dyDescent="0.3">
      <c r="A983" s="818" t="s">
        <v>7671</v>
      </c>
      <c r="B983" s="1113" t="s">
        <v>7671</v>
      </c>
      <c r="C983" s="689">
        <v>208</v>
      </c>
      <c r="D983" s="779" t="s">
        <v>57</v>
      </c>
      <c r="E983" s="779"/>
      <c r="F983" s="819" t="s">
        <v>668</v>
      </c>
      <c r="G983" s="819" t="s">
        <v>1238</v>
      </c>
      <c r="H983" s="689"/>
      <c r="I983" s="878"/>
      <c r="J983" s="688">
        <v>4029</v>
      </c>
      <c r="K983" s="690" t="s">
        <v>6491</v>
      </c>
      <c r="L983" s="973">
        <v>1880183.0870429999</v>
      </c>
      <c r="M983" s="973">
        <v>5749956.9414999997</v>
      </c>
      <c r="N983" s="689" t="s">
        <v>7954</v>
      </c>
      <c r="O983" s="689" t="s">
        <v>193</v>
      </c>
      <c r="P983" s="689">
        <v>4</v>
      </c>
      <c r="Q983" s="689" t="s">
        <v>8916</v>
      </c>
      <c r="R983" s="690" t="s">
        <v>8917</v>
      </c>
      <c r="S983" s="691" t="s">
        <v>16</v>
      </c>
      <c r="T983" s="833" t="s">
        <v>7955</v>
      </c>
      <c r="U983" s="92" t="s">
        <v>7956</v>
      </c>
      <c r="V983" s="92" t="s">
        <v>1212</v>
      </c>
      <c r="W983" s="92" t="s">
        <v>6372</v>
      </c>
      <c r="X983" s="93">
        <v>44238</v>
      </c>
      <c r="Y983" s="92"/>
      <c r="Z983" s="93">
        <v>44379</v>
      </c>
      <c r="AA983" s="1108" t="s">
        <v>37</v>
      </c>
    </row>
    <row r="984" spans="1:27" s="869" customFormat="1" ht="39.75" thickBot="1" x14ac:dyDescent="0.3">
      <c r="A984" s="334" t="s">
        <v>4997</v>
      </c>
      <c r="B984" s="333" t="s">
        <v>4997</v>
      </c>
      <c r="C984" s="84">
        <v>212</v>
      </c>
      <c r="D984" s="591" t="s">
        <v>57</v>
      </c>
      <c r="E984" s="591"/>
      <c r="F984" s="149" t="s">
        <v>668</v>
      </c>
      <c r="G984" s="820" t="s">
        <v>1238</v>
      </c>
      <c r="H984" s="84"/>
      <c r="I984" s="591"/>
      <c r="J984" s="89">
        <v>4028</v>
      </c>
      <c r="K984" s="396" t="s">
        <v>6502</v>
      </c>
      <c r="L984" s="265">
        <v>1882023.44215</v>
      </c>
      <c r="M984" s="265">
        <v>5753395.6020799996</v>
      </c>
      <c r="N984" s="84" t="s">
        <v>7957</v>
      </c>
      <c r="O984" s="84" t="s">
        <v>193</v>
      </c>
      <c r="P984" s="84">
        <v>5</v>
      </c>
      <c r="Q984" s="84" t="s">
        <v>8918</v>
      </c>
      <c r="R984" s="396" t="s">
        <v>8917</v>
      </c>
      <c r="S984" s="90" t="s">
        <v>16</v>
      </c>
      <c r="T984" s="94" t="s">
        <v>7958</v>
      </c>
      <c r="U984" s="92" t="s">
        <v>7959</v>
      </c>
      <c r="V984" s="92" t="s">
        <v>1212</v>
      </c>
      <c r="W984" s="92" t="s">
        <v>6372</v>
      </c>
      <c r="X984" s="93">
        <v>44238</v>
      </c>
      <c r="Y984" s="92"/>
      <c r="Z984" s="93">
        <v>44379</v>
      </c>
      <c r="AA984" s="1108" t="s">
        <v>37</v>
      </c>
    </row>
    <row r="985" spans="1:27" s="869" customFormat="1" ht="52.5" thickBot="1" x14ac:dyDescent="0.3">
      <c r="A985" s="524" t="s">
        <v>3586</v>
      </c>
      <c r="B985" s="81" t="s">
        <v>3586</v>
      </c>
      <c r="C985" s="26">
        <v>526</v>
      </c>
      <c r="D985" s="594" t="s">
        <v>52</v>
      </c>
      <c r="E985" s="594" t="s">
        <v>408</v>
      </c>
      <c r="F985" s="244" t="s">
        <v>567</v>
      </c>
      <c r="G985" s="26" t="s">
        <v>2241</v>
      </c>
      <c r="H985" s="26"/>
      <c r="I985" s="888"/>
      <c r="J985" s="263">
        <v>981</v>
      </c>
      <c r="K985" s="467" t="s">
        <v>8462</v>
      </c>
      <c r="L985" s="918">
        <v>1532734.4457</v>
      </c>
      <c r="M985" s="918">
        <v>5375810.1358000003</v>
      </c>
      <c r="N985" s="210">
        <v>4.5</v>
      </c>
      <c r="O985" s="210" t="s">
        <v>194</v>
      </c>
      <c r="P985" s="210">
        <v>1</v>
      </c>
      <c r="Q985" s="210" t="s">
        <v>8474</v>
      </c>
      <c r="R985" s="467" t="s">
        <v>8478</v>
      </c>
      <c r="S985" s="400" t="s">
        <v>16</v>
      </c>
      <c r="T985" s="838" t="s">
        <v>8363</v>
      </c>
      <c r="U985" s="92" t="s">
        <v>8469</v>
      </c>
      <c r="V985" s="92" t="s">
        <v>8464</v>
      </c>
      <c r="W985" s="92" t="s">
        <v>37</v>
      </c>
      <c r="X985" s="93">
        <v>44391</v>
      </c>
      <c r="Y985" s="92"/>
      <c r="Z985" s="368"/>
      <c r="AA985" s="1108"/>
    </row>
    <row r="986" spans="1:27" s="869" customFormat="1" ht="65.25" thickBot="1" x14ac:dyDescent="0.3">
      <c r="A986" s="736"/>
      <c r="B986" s="516"/>
      <c r="C986" s="27"/>
      <c r="D986" s="570"/>
      <c r="E986" s="570"/>
      <c r="F986" s="245"/>
      <c r="G986" s="27"/>
      <c r="H986" s="27"/>
      <c r="I986" s="889"/>
      <c r="J986" s="263">
        <v>982</v>
      </c>
      <c r="K986" s="467" t="s">
        <v>8465</v>
      </c>
      <c r="L986" s="918">
        <v>1532761.26</v>
      </c>
      <c r="M986" s="918">
        <v>5375544.8384999996</v>
      </c>
      <c r="N986" s="264" t="s">
        <v>10129</v>
      </c>
      <c r="O986" s="264" t="s">
        <v>2090</v>
      </c>
      <c r="P986" s="210">
        <v>1</v>
      </c>
      <c r="Q986" s="210" t="s">
        <v>8475</v>
      </c>
      <c r="R986" s="467" t="s">
        <v>3798</v>
      </c>
      <c r="S986" s="400" t="s">
        <v>10</v>
      </c>
      <c r="T986" s="838" t="s">
        <v>4131</v>
      </c>
      <c r="U986" s="92" t="s">
        <v>8466</v>
      </c>
      <c r="V986" s="92" t="s">
        <v>8464</v>
      </c>
      <c r="W986" s="92" t="s">
        <v>37</v>
      </c>
      <c r="X986" s="93">
        <v>44391</v>
      </c>
      <c r="Y986" s="92"/>
      <c r="Z986" s="368"/>
      <c r="AA986" s="1108"/>
    </row>
    <row r="987" spans="1:27" s="869" customFormat="1" ht="65.25" thickBot="1" x14ac:dyDescent="0.3">
      <c r="A987" s="736"/>
      <c r="B987" s="516"/>
      <c r="C987" s="27"/>
      <c r="D987" s="570"/>
      <c r="E987" s="570"/>
      <c r="F987" s="245"/>
      <c r="G987" s="27"/>
      <c r="H987" s="27"/>
      <c r="I987" s="889"/>
      <c r="J987" s="263">
        <v>983</v>
      </c>
      <c r="K987" s="467" t="s">
        <v>8467</v>
      </c>
      <c r="L987" s="918">
        <v>1532732.5504999999</v>
      </c>
      <c r="M987" s="918">
        <v>5375826.3687000005</v>
      </c>
      <c r="N987" s="264" t="s">
        <v>10128</v>
      </c>
      <c r="O987" s="264" t="s">
        <v>2090</v>
      </c>
      <c r="P987" s="210">
        <v>1</v>
      </c>
      <c r="Q987" s="210" t="s">
        <v>8476</v>
      </c>
      <c r="R987" s="467" t="s">
        <v>3798</v>
      </c>
      <c r="S987" s="400" t="s">
        <v>16</v>
      </c>
      <c r="T987" s="838" t="s">
        <v>8467</v>
      </c>
      <c r="U987" s="92" t="s">
        <v>8470</v>
      </c>
      <c r="V987" s="92" t="s">
        <v>8471</v>
      </c>
      <c r="W987" s="92" t="s">
        <v>37</v>
      </c>
      <c r="X987" s="93">
        <v>44391</v>
      </c>
      <c r="Y987" s="92"/>
      <c r="Z987" s="368"/>
      <c r="AA987" s="1108"/>
    </row>
    <row r="988" spans="1:27" s="869" customFormat="1" ht="65.25" thickBot="1" x14ac:dyDescent="0.3">
      <c r="A988" s="790"/>
      <c r="B988" s="777"/>
      <c r="C988" s="28"/>
      <c r="D988" s="575"/>
      <c r="E988" s="575"/>
      <c r="F988" s="246"/>
      <c r="G988" s="28"/>
      <c r="H988" s="28"/>
      <c r="I988" s="890"/>
      <c r="J988" s="263">
        <v>984</v>
      </c>
      <c r="K988" s="467" t="s">
        <v>8473</v>
      </c>
      <c r="L988" s="918">
        <v>1532773.1161</v>
      </c>
      <c r="M988" s="918">
        <v>5375428.3870000001</v>
      </c>
      <c r="N988" s="210" t="s">
        <v>4496</v>
      </c>
      <c r="O988" s="210" t="s">
        <v>194</v>
      </c>
      <c r="P988" s="210">
        <v>1</v>
      </c>
      <c r="Q988" s="210" t="s">
        <v>8477</v>
      </c>
      <c r="R988" s="467" t="s">
        <v>8478</v>
      </c>
      <c r="S988" s="400" t="s">
        <v>16</v>
      </c>
      <c r="T988" s="838" t="s">
        <v>891</v>
      </c>
      <c r="U988" s="92" t="s">
        <v>8472</v>
      </c>
      <c r="V988" s="92" t="s">
        <v>8471</v>
      </c>
      <c r="W988" s="92" t="s">
        <v>37</v>
      </c>
      <c r="X988" s="93">
        <v>44391</v>
      </c>
      <c r="Y988" s="92"/>
      <c r="Z988" s="368"/>
      <c r="AA988" s="1108"/>
    </row>
    <row r="989" spans="1:27" s="869" customFormat="1" ht="90.75" thickBot="1" x14ac:dyDescent="0.3">
      <c r="A989" s="345" t="s">
        <v>8160</v>
      </c>
      <c r="B989" s="331" t="s">
        <v>1848</v>
      </c>
      <c r="C989" s="83">
        <v>327</v>
      </c>
      <c r="D989" s="588" t="s">
        <v>52</v>
      </c>
      <c r="E989" s="588" t="s">
        <v>53</v>
      </c>
      <c r="F989" s="83" t="s">
        <v>668</v>
      </c>
      <c r="G989" s="199" t="s">
        <v>1973</v>
      </c>
      <c r="H989" s="588"/>
      <c r="I989" s="588"/>
      <c r="J989" s="87">
        <v>1023</v>
      </c>
      <c r="K989" s="360" t="s">
        <v>7392</v>
      </c>
      <c r="L989" s="947">
        <v>1769017.5364999999</v>
      </c>
      <c r="M989" s="198">
        <v>5437844.8236999996</v>
      </c>
      <c r="N989" s="83" t="s">
        <v>8161</v>
      </c>
      <c r="O989" s="83" t="s">
        <v>194</v>
      </c>
      <c r="P989" s="83">
        <v>8</v>
      </c>
      <c r="Q989" s="83" t="s">
        <v>8162</v>
      </c>
      <c r="R989" s="360" t="s">
        <v>8976</v>
      </c>
      <c r="S989" s="88" t="s">
        <v>16</v>
      </c>
      <c r="T989" s="838" t="s">
        <v>3606</v>
      </c>
      <c r="U989" s="92" t="s">
        <v>8163</v>
      </c>
      <c r="V989" s="92" t="s">
        <v>6965</v>
      </c>
      <c r="W989" s="834" t="s">
        <v>1380</v>
      </c>
      <c r="X989" s="93">
        <v>44294</v>
      </c>
      <c r="Y989" s="92"/>
      <c r="Z989" s="93">
        <v>44319</v>
      </c>
      <c r="AA989" s="1108" t="s">
        <v>37</v>
      </c>
    </row>
    <row r="992" spans="1:27" x14ac:dyDescent="0.25">
      <c r="F992" s="352"/>
      <c r="G992" s="352"/>
      <c r="H992" s="352"/>
      <c r="L992" s="352"/>
      <c r="M992" s="2"/>
      <c r="N992" s="352"/>
      <c r="O992" s="352"/>
      <c r="P992" s="352"/>
      <c r="Q992" s="352"/>
      <c r="R992" s="3"/>
      <c r="S992" s="352"/>
      <c r="Y992" s="1153"/>
      <c r="Z992" s="12"/>
      <c r="AA992" s="1153"/>
    </row>
    <row r="993" spans="6:27" x14ac:dyDescent="0.25">
      <c r="F993" s="352"/>
      <c r="G993" s="352"/>
      <c r="H993" s="352"/>
      <c r="L993" s="352"/>
      <c r="M993" s="2"/>
      <c r="N993" s="352"/>
      <c r="O993" s="352"/>
      <c r="P993" s="352"/>
      <c r="Q993" s="352"/>
      <c r="R993" s="3"/>
      <c r="S993" s="351"/>
      <c r="T993" s="365"/>
      <c r="U993" s="46"/>
      <c r="V993" s="46"/>
      <c r="W993" s="46"/>
      <c r="X993" s="47"/>
      <c r="Y993" s="1153"/>
      <c r="Z993" s="12"/>
      <c r="AA993" s="1153"/>
    </row>
    <row r="994" spans="6:27" x14ac:dyDescent="0.25">
      <c r="F994" s="352"/>
      <c r="G994" s="352"/>
      <c r="H994" s="352"/>
      <c r="L994" s="352"/>
      <c r="M994" s="2"/>
      <c r="N994" s="352"/>
      <c r="O994" s="352"/>
      <c r="P994" s="352"/>
      <c r="Q994" s="352"/>
      <c r="R994" s="3"/>
      <c r="S994" s="351"/>
      <c r="T994" s="365"/>
      <c r="U994" s="46"/>
      <c r="V994" s="46"/>
      <c r="W994" s="46"/>
      <c r="X994" s="47"/>
      <c r="Y994" s="1153"/>
      <c r="Z994" s="12"/>
      <c r="AA994" s="1153"/>
    </row>
    <row r="995" spans="6:27" x14ac:dyDescent="0.25">
      <c r="F995" s="352"/>
      <c r="G995" s="352"/>
      <c r="H995" s="352"/>
      <c r="L995" s="352"/>
      <c r="M995" s="2"/>
      <c r="N995" s="352"/>
      <c r="O995" s="352"/>
      <c r="P995" s="352"/>
      <c r="Q995" s="352"/>
      <c r="R995" s="3"/>
      <c r="S995" s="351"/>
      <c r="T995" s="365"/>
      <c r="U995" s="46"/>
      <c r="V995" s="46"/>
      <c r="W995" s="46"/>
      <c r="X995" s="47"/>
      <c r="Y995" s="1153"/>
      <c r="Z995" s="12"/>
      <c r="AA995" s="1153"/>
    </row>
    <row r="996" spans="6:27" x14ac:dyDescent="0.25">
      <c r="F996" s="352"/>
      <c r="G996" s="352"/>
      <c r="H996" s="352"/>
      <c r="L996" s="352"/>
      <c r="M996" s="2"/>
      <c r="N996" s="352"/>
      <c r="O996" s="352"/>
      <c r="P996" s="352"/>
      <c r="Q996" s="352"/>
      <c r="R996" s="3"/>
      <c r="S996" s="351"/>
      <c r="T996" s="365"/>
      <c r="U996" s="46"/>
      <c r="V996" s="46"/>
      <c r="W996" s="46"/>
      <c r="X996" s="47"/>
      <c r="Y996" s="1153"/>
      <c r="Z996" s="12"/>
      <c r="AA996" s="1153"/>
    </row>
    <row r="997" spans="6:27" x14ac:dyDescent="0.25">
      <c r="F997" s="352"/>
      <c r="G997" s="352"/>
      <c r="H997" s="352"/>
      <c r="L997" s="352"/>
      <c r="M997" s="2"/>
      <c r="N997" s="352"/>
      <c r="O997" s="352"/>
      <c r="P997" s="352"/>
      <c r="Q997" s="352"/>
      <c r="R997" s="3"/>
      <c r="S997" s="352"/>
      <c r="Y997" s="1153"/>
      <c r="Z997" s="12"/>
      <c r="AA997" s="1153"/>
    </row>
  </sheetData>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3EDFB-2ED2-466B-93F9-58804997D3E9}">
  <sheetPr codeName="Sheet1">
    <pageSetUpPr fitToPage="1"/>
  </sheetPr>
  <dimension ref="A1:I292"/>
  <sheetViews>
    <sheetView workbookViewId="0">
      <pane ySplit="1" topLeftCell="A2" activePane="bottomLeft" state="frozen"/>
      <selection pane="bottomLeft"/>
    </sheetView>
  </sheetViews>
  <sheetFormatPr defaultColWidth="9.140625" defaultRowHeight="15" x14ac:dyDescent="0.25"/>
  <cols>
    <col min="1" max="1" width="9.140625" style="774"/>
    <col min="2" max="2" width="255.5703125" style="519" customWidth="1"/>
    <col min="3" max="3" width="73.5703125" style="519" customWidth="1"/>
    <col min="4" max="16384" width="9.140625" style="519"/>
  </cols>
  <sheetData>
    <row r="1" spans="1:9" s="712" customFormat="1" x14ac:dyDescent="0.25">
      <c r="A1" s="770" t="s">
        <v>55</v>
      </c>
      <c r="B1" s="771" t="s">
        <v>56</v>
      </c>
      <c r="C1" s="771"/>
      <c r="D1" s="771"/>
      <c r="E1" s="771"/>
      <c r="F1" s="771"/>
      <c r="G1" s="771"/>
      <c r="H1" s="771"/>
      <c r="I1" s="771"/>
    </row>
    <row r="2" spans="1:9" s="771" customFormat="1" x14ac:dyDescent="0.25">
      <c r="A2" s="713">
        <v>71590</v>
      </c>
      <c r="B2" s="711" t="s">
        <v>378</v>
      </c>
      <c r="C2" s="712"/>
      <c r="D2" s="712"/>
      <c r="E2" s="712"/>
      <c r="F2" s="712"/>
      <c r="G2" s="712"/>
      <c r="H2" s="712"/>
      <c r="I2" s="712"/>
    </row>
    <row r="3" spans="1:9" s="712" customFormat="1" ht="12.75" x14ac:dyDescent="0.2">
      <c r="A3" s="713">
        <v>52231</v>
      </c>
      <c r="B3" s="711" t="s">
        <v>6967</v>
      </c>
      <c r="D3" s="610"/>
      <c r="E3" s="610"/>
      <c r="F3" s="610"/>
      <c r="G3" s="610"/>
      <c r="H3" s="610"/>
      <c r="I3" s="610"/>
    </row>
    <row r="4" spans="1:9" s="610" customFormat="1" ht="12.75" x14ac:dyDescent="0.2">
      <c r="A4" s="713">
        <v>123795</v>
      </c>
      <c r="B4" s="711" t="s">
        <v>7564</v>
      </c>
      <c r="C4" s="712"/>
    </row>
    <row r="5" spans="1:9" s="610" customFormat="1" ht="12.75" x14ac:dyDescent="0.2">
      <c r="A5" s="713">
        <v>180809</v>
      </c>
      <c r="B5" s="711" t="s">
        <v>7565</v>
      </c>
      <c r="C5" s="711"/>
      <c r="D5" s="712"/>
      <c r="E5" s="712"/>
      <c r="F5" s="712"/>
      <c r="G5" s="712"/>
      <c r="H5" s="712"/>
      <c r="I5" s="712"/>
    </row>
    <row r="6" spans="1:9" s="610" customFormat="1" x14ac:dyDescent="0.25">
      <c r="A6" s="713">
        <v>203410</v>
      </c>
      <c r="B6" s="711" t="s">
        <v>7566</v>
      </c>
      <c r="C6" s="519"/>
      <c r="D6" s="519"/>
      <c r="E6" s="519"/>
      <c r="F6" s="519"/>
      <c r="G6" s="519"/>
      <c r="H6" s="519"/>
      <c r="I6" s="519"/>
    </row>
    <row r="7" spans="1:9" s="610" customFormat="1" ht="12.75" customHeight="1" x14ac:dyDescent="0.2">
      <c r="A7" s="713">
        <v>56782</v>
      </c>
      <c r="B7" s="711" t="s">
        <v>8459</v>
      </c>
      <c r="C7" s="712"/>
    </row>
    <row r="8" spans="1:9" s="610" customFormat="1" ht="12.75" x14ac:dyDescent="0.2">
      <c r="A8" s="713">
        <v>135981</v>
      </c>
      <c r="B8" s="610" t="s">
        <v>6856</v>
      </c>
      <c r="C8" s="712"/>
      <c r="D8" s="712"/>
      <c r="E8" s="712"/>
      <c r="F8" s="712"/>
      <c r="G8" s="712"/>
      <c r="H8" s="712"/>
      <c r="I8" s="712"/>
    </row>
    <row r="9" spans="1:9" s="610" customFormat="1" ht="12.75" x14ac:dyDescent="0.2">
      <c r="A9" s="713">
        <v>229479</v>
      </c>
      <c r="B9" s="711" t="s">
        <v>7567</v>
      </c>
      <c r="C9" s="712"/>
    </row>
    <row r="10" spans="1:9" s="610" customFormat="1" x14ac:dyDescent="0.25">
      <c r="A10" s="713">
        <v>243384</v>
      </c>
      <c r="B10" s="711" t="s">
        <v>7568</v>
      </c>
      <c r="C10" s="519"/>
      <c r="D10" s="519"/>
      <c r="E10" s="519"/>
      <c r="F10" s="519"/>
      <c r="G10" s="519"/>
      <c r="H10" s="519"/>
      <c r="I10" s="519"/>
    </row>
    <row r="11" spans="1:9" s="712" customFormat="1" ht="12.75" x14ac:dyDescent="0.2">
      <c r="A11" s="713">
        <v>184838</v>
      </c>
      <c r="B11" s="711" t="s">
        <v>7725</v>
      </c>
      <c r="D11" s="610"/>
      <c r="E11" s="610"/>
      <c r="F11" s="610"/>
      <c r="G11" s="610"/>
      <c r="H11" s="610"/>
      <c r="I11" s="610"/>
    </row>
    <row r="12" spans="1:9" s="712" customFormat="1" ht="12.75" x14ac:dyDescent="0.2">
      <c r="A12" s="713">
        <v>116528</v>
      </c>
      <c r="B12" s="711" t="s">
        <v>2136</v>
      </c>
      <c r="D12" s="610"/>
      <c r="E12" s="610"/>
      <c r="F12" s="610"/>
      <c r="G12" s="610"/>
      <c r="H12" s="610"/>
      <c r="I12" s="610"/>
    </row>
    <row r="13" spans="1:9" s="712" customFormat="1" ht="12.75" x14ac:dyDescent="0.2">
      <c r="A13" s="713">
        <v>248295</v>
      </c>
      <c r="B13" s="610" t="s">
        <v>6857</v>
      </c>
      <c r="C13" s="711"/>
      <c r="D13" s="610"/>
      <c r="E13" s="610"/>
      <c r="F13" s="610"/>
      <c r="G13" s="610"/>
      <c r="H13" s="610"/>
      <c r="I13" s="610"/>
    </row>
    <row r="14" spans="1:9" s="712" customFormat="1" x14ac:dyDescent="0.25">
      <c r="A14" s="713">
        <v>223720</v>
      </c>
      <c r="B14" s="711" t="s">
        <v>4778</v>
      </c>
      <c r="C14" s="519"/>
      <c r="D14" s="519"/>
      <c r="E14" s="519"/>
      <c r="F14" s="519"/>
      <c r="G14" s="519"/>
      <c r="H14" s="519"/>
      <c r="I14" s="519"/>
    </row>
    <row r="15" spans="1:9" s="610" customFormat="1" ht="12.75" x14ac:dyDescent="0.2">
      <c r="A15" s="713">
        <v>116726</v>
      </c>
      <c r="B15" s="711" t="s">
        <v>7686</v>
      </c>
      <c r="C15" s="712"/>
    </row>
    <row r="16" spans="1:9" s="610" customFormat="1" ht="12.75" x14ac:dyDescent="0.2">
      <c r="A16" s="713">
        <v>100974</v>
      </c>
      <c r="B16" s="711" t="s">
        <v>2053</v>
      </c>
      <c r="C16" s="712"/>
      <c r="D16" s="712"/>
      <c r="E16" s="712"/>
      <c r="F16" s="712"/>
      <c r="G16" s="712"/>
      <c r="H16" s="712"/>
      <c r="I16" s="712"/>
    </row>
    <row r="17" spans="1:9" s="610" customFormat="1" ht="12.75" x14ac:dyDescent="0.2">
      <c r="A17" s="713">
        <v>132774</v>
      </c>
      <c r="B17" s="711" t="s">
        <v>2009</v>
      </c>
      <c r="C17" s="712"/>
      <c r="D17" s="712"/>
      <c r="E17" s="712"/>
      <c r="F17" s="712"/>
      <c r="G17" s="712"/>
      <c r="H17" s="712"/>
      <c r="I17" s="712"/>
    </row>
    <row r="18" spans="1:9" s="712" customFormat="1" ht="15" customHeight="1" x14ac:dyDescent="0.2">
      <c r="A18" s="713">
        <v>71699</v>
      </c>
      <c r="B18" s="711" t="s">
        <v>6858</v>
      </c>
      <c r="C18" s="711"/>
    </row>
    <row r="19" spans="1:9" s="712" customFormat="1" ht="15" customHeight="1" x14ac:dyDescent="0.2">
      <c r="A19" s="713">
        <v>209801</v>
      </c>
      <c r="B19" s="711" t="s">
        <v>7569</v>
      </c>
    </row>
    <row r="20" spans="1:9" s="712" customFormat="1" ht="12.75" x14ac:dyDescent="0.2">
      <c r="A20" s="713">
        <v>216480</v>
      </c>
      <c r="B20" s="610" t="s">
        <v>43</v>
      </c>
      <c r="D20" s="610"/>
      <c r="E20" s="610"/>
      <c r="F20" s="610"/>
      <c r="G20" s="610"/>
      <c r="H20" s="610"/>
      <c r="I20" s="610"/>
    </row>
    <row r="21" spans="1:9" s="712" customFormat="1" x14ac:dyDescent="0.25">
      <c r="A21" s="713">
        <v>100346</v>
      </c>
      <c r="B21" s="712" t="s">
        <v>5544</v>
      </c>
      <c r="C21" s="519"/>
      <c r="D21" s="519"/>
      <c r="E21" s="519"/>
      <c r="F21" s="519"/>
      <c r="G21" s="519"/>
      <c r="H21" s="519"/>
      <c r="I21" s="519"/>
    </row>
    <row r="22" spans="1:9" s="712" customFormat="1" ht="12.75" x14ac:dyDescent="0.2">
      <c r="A22" s="713">
        <v>146440</v>
      </c>
      <c r="B22" s="711" t="s">
        <v>7900</v>
      </c>
      <c r="D22" s="610"/>
      <c r="E22" s="610"/>
      <c r="F22" s="610"/>
      <c r="G22" s="610"/>
      <c r="H22" s="610"/>
      <c r="I22" s="610"/>
    </row>
    <row r="23" spans="1:9" s="712" customFormat="1" ht="12.75" x14ac:dyDescent="0.2">
      <c r="A23" s="713">
        <v>115506</v>
      </c>
      <c r="B23" s="711" t="s">
        <v>1976</v>
      </c>
      <c r="D23" s="610"/>
      <c r="E23" s="610"/>
      <c r="F23" s="610"/>
      <c r="G23" s="610"/>
      <c r="H23" s="610"/>
      <c r="I23" s="610"/>
    </row>
    <row r="24" spans="1:9" s="712" customFormat="1" ht="15" customHeight="1" x14ac:dyDescent="0.25">
      <c r="A24" s="713">
        <v>32955</v>
      </c>
      <c r="B24" s="711" t="s">
        <v>7570</v>
      </c>
      <c r="C24" s="519"/>
      <c r="D24" s="519"/>
      <c r="E24" s="519"/>
      <c r="F24" s="519"/>
      <c r="G24" s="519"/>
      <c r="H24" s="519"/>
      <c r="I24" s="519"/>
    </row>
    <row r="25" spans="1:9" s="712" customFormat="1" x14ac:dyDescent="0.2">
      <c r="A25" s="772">
        <v>48297</v>
      </c>
      <c r="B25" s="711" t="s">
        <v>7915</v>
      </c>
    </row>
    <row r="26" spans="1:9" s="712" customFormat="1" ht="12.75" x14ac:dyDescent="0.2">
      <c r="A26" s="713">
        <v>77853</v>
      </c>
      <c r="B26" s="711" t="s">
        <v>6859</v>
      </c>
    </row>
    <row r="27" spans="1:9" s="712" customFormat="1" x14ac:dyDescent="0.25">
      <c r="A27" s="713">
        <v>36300</v>
      </c>
      <c r="B27" s="712" t="s">
        <v>5545</v>
      </c>
      <c r="C27" s="519"/>
      <c r="D27" s="519"/>
      <c r="E27" s="519"/>
      <c r="F27" s="519"/>
      <c r="G27" s="519"/>
      <c r="H27" s="519"/>
      <c r="I27" s="519"/>
    </row>
    <row r="28" spans="1:9" s="712" customFormat="1" ht="12.75" x14ac:dyDescent="0.2">
      <c r="A28" s="713">
        <v>146442</v>
      </c>
      <c r="B28" s="711" t="s">
        <v>7898</v>
      </c>
      <c r="C28" s="711"/>
    </row>
    <row r="29" spans="1:9" s="712" customFormat="1" ht="12.75" x14ac:dyDescent="0.2">
      <c r="A29" s="713">
        <v>146480</v>
      </c>
      <c r="B29" s="711" t="s">
        <v>5562</v>
      </c>
    </row>
    <row r="30" spans="1:9" s="712" customFormat="1" ht="12.75" x14ac:dyDescent="0.2">
      <c r="A30" s="713">
        <v>248455</v>
      </c>
      <c r="B30" s="711" t="s">
        <v>7571</v>
      </c>
      <c r="C30" s="711"/>
    </row>
    <row r="31" spans="1:9" s="712" customFormat="1" ht="12.75" x14ac:dyDescent="0.2">
      <c r="A31" s="713">
        <v>200472</v>
      </c>
      <c r="B31" s="711" t="s">
        <v>7572</v>
      </c>
    </row>
    <row r="32" spans="1:9" s="712" customFormat="1" ht="12.75" x14ac:dyDescent="0.2">
      <c r="A32" s="713">
        <v>136471</v>
      </c>
      <c r="B32" s="712" t="s">
        <v>6860</v>
      </c>
      <c r="C32" s="711"/>
    </row>
    <row r="33" spans="1:9" s="712" customFormat="1" ht="15" customHeight="1" x14ac:dyDescent="0.2">
      <c r="A33" s="713">
        <v>80494</v>
      </c>
      <c r="B33" s="711" t="s">
        <v>7563</v>
      </c>
    </row>
    <row r="34" spans="1:9" s="712" customFormat="1" ht="12.75" x14ac:dyDescent="0.2">
      <c r="A34" s="713">
        <v>100885</v>
      </c>
      <c r="B34" s="711" t="s">
        <v>1993</v>
      </c>
    </row>
    <row r="35" spans="1:9" s="712" customFormat="1" ht="12.75" x14ac:dyDescent="0.2">
      <c r="A35" s="713">
        <v>97051</v>
      </c>
      <c r="B35" s="711" t="s">
        <v>7573</v>
      </c>
    </row>
    <row r="36" spans="1:9" s="712" customFormat="1" ht="12.75" x14ac:dyDescent="0.2">
      <c r="A36" s="713">
        <v>98103</v>
      </c>
      <c r="B36" s="711" t="s">
        <v>7574</v>
      </c>
    </row>
    <row r="37" spans="1:9" s="712" customFormat="1" ht="12.75" x14ac:dyDescent="0.2">
      <c r="A37" s="713">
        <v>87851</v>
      </c>
      <c r="B37" s="711" t="s">
        <v>6966</v>
      </c>
    </row>
    <row r="38" spans="1:9" s="712" customFormat="1" ht="12.75" x14ac:dyDescent="0.2">
      <c r="A38" s="713">
        <v>114694</v>
      </c>
      <c r="B38" s="711" t="s">
        <v>940</v>
      </c>
    </row>
    <row r="39" spans="1:9" s="712" customFormat="1" ht="12.75" x14ac:dyDescent="0.2">
      <c r="A39" s="713">
        <v>41364</v>
      </c>
      <c r="B39" s="711" t="s">
        <v>1990</v>
      </c>
    </row>
    <row r="40" spans="1:9" s="712" customFormat="1" ht="12.75" x14ac:dyDescent="0.2">
      <c r="A40" s="713">
        <v>57239</v>
      </c>
      <c r="B40" s="711" t="s">
        <v>7575</v>
      </c>
      <c r="C40" s="711"/>
    </row>
    <row r="41" spans="1:9" s="712" customFormat="1" ht="12.75" x14ac:dyDescent="0.2">
      <c r="A41" s="713">
        <v>56977</v>
      </c>
      <c r="B41" s="711" t="s">
        <v>3352</v>
      </c>
      <c r="C41" s="711"/>
    </row>
    <row r="42" spans="1:9" s="712" customFormat="1" x14ac:dyDescent="0.25">
      <c r="A42" s="713">
        <v>80495</v>
      </c>
      <c r="B42" s="711" t="s">
        <v>6861</v>
      </c>
      <c r="C42" s="519"/>
      <c r="D42" s="519"/>
      <c r="E42" s="519"/>
      <c r="F42" s="519"/>
      <c r="G42" s="519"/>
      <c r="H42" s="519"/>
      <c r="I42" s="519"/>
    </row>
    <row r="43" spans="1:9" s="712" customFormat="1" ht="12.75" x14ac:dyDescent="0.2">
      <c r="A43" s="713">
        <v>237038</v>
      </c>
      <c r="B43" s="711" t="s">
        <v>7576</v>
      </c>
    </row>
    <row r="44" spans="1:9" s="712" customFormat="1" ht="12.75" x14ac:dyDescent="0.2">
      <c r="A44" s="713">
        <v>197664</v>
      </c>
      <c r="B44" s="610" t="s">
        <v>7577</v>
      </c>
      <c r="C44" s="610"/>
    </row>
    <row r="45" spans="1:9" s="712" customFormat="1" ht="12.75" x14ac:dyDescent="0.2">
      <c r="A45" s="713">
        <v>196970</v>
      </c>
      <c r="B45" s="610" t="s">
        <v>6862</v>
      </c>
      <c r="C45" s="610"/>
    </row>
    <row r="46" spans="1:9" s="712" customFormat="1" ht="12.75" x14ac:dyDescent="0.2">
      <c r="A46" s="713">
        <v>100602</v>
      </c>
      <c r="B46" s="711" t="s">
        <v>5540</v>
      </c>
    </row>
    <row r="47" spans="1:9" s="712" customFormat="1" ht="12.75" x14ac:dyDescent="0.2">
      <c r="A47" s="713">
        <v>172854</v>
      </c>
      <c r="B47" s="711" t="s">
        <v>7578</v>
      </c>
    </row>
    <row r="48" spans="1:9" s="712" customFormat="1" x14ac:dyDescent="0.25">
      <c r="A48" s="713">
        <v>188039</v>
      </c>
      <c r="B48" s="711" t="s">
        <v>6863</v>
      </c>
      <c r="C48" s="519"/>
      <c r="D48" s="519"/>
      <c r="E48" s="519"/>
      <c r="F48" s="519"/>
      <c r="G48" s="519"/>
      <c r="H48" s="519"/>
      <c r="I48" s="519"/>
    </row>
    <row r="49" spans="1:9" s="712" customFormat="1" ht="15" customHeight="1" x14ac:dyDescent="0.2">
      <c r="A49" s="713">
        <v>112513</v>
      </c>
      <c r="B49" s="711" t="s">
        <v>7579</v>
      </c>
    </row>
    <row r="50" spans="1:9" s="712" customFormat="1" ht="12.75" x14ac:dyDescent="0.2">
      <c r="A50" s="713">
        <v>112153</v>
      </c>
      <c r="B50" s="711" t="s">
        <v>6864</v>
      </c>
      <c r="C50" s="711"/>
    </row>
    <row r="51" spans="1:9" s="712" customFormat="1" ht="12.75" x14ac:dyDescent="0.2">
      <c r="A51" s="713">
        <v>133751</v>
      </c>
      <c r="B51" s="711" t="s">
        <v>7580</v>
      </c>
      <c r="C51" s="610"/>
    </row>
    <row r="52" spans="1:9" s="712" customFormat="1" ht="12.75" x14ac:dyDescent="0.2">
      <c r="A52" s="713">
        <v>220582</v>
      </c>
      <c r="B52" s="610" t="s">
        <v>7581</v>
      </c>
    </row>
    <row r="53" spans="1:9" s="712" customFormat="1" ht="12.75" x14ac:dyDescent="0.2">
      <c r="A53" s="713">
        <v>57253</v>
      </c>
      <c r="B53" s="712" t="s">
        <v>7582</v>
      </c>
      <c r="C53" s="610"/>
    </row>
    <row r="54" spans="1:9" s="712" customFormat="1" ht="12.75" x14ac:dyDescent="0.2">
      <c r="A54" s="713">
        <v>250243</v>
      </c>
      <c r="B54" s="712" t="s">
        <v>10159</v>
      </c>
      <c r="C54" s="610"/>
    </row>
    <row r="55" spans="1:9" s="712" customFormat="1" ht="12.75" x14ac:dyDescent="0.2">
      <c r="A55" s="713"/>
      <c r="B55" s="773" t="s">
        <v>5550</v>
      </c>
      <c r="C55" s="610"/>
    </row>
    <row r="56" spans="1:9" s="712" customFormat="1" ht="12.75" x14ac:dyDescent="0.2">
      <c r="A56" s="713">
        <v>18277</v>
      </c>
      <c r="B56" s="711" t="s">
        <v>381</v>
      </c>
      <c r="C56" s="711"/>
    </row>
    <row r="57" spans="1:9" s="712" customFormat="1" ht="12.75" x14ac:dyDescent="0.2">
      <c r="A57" s="713">
        <v>134917</v>
      </c>
      <c r="B57" s="711" t="s">
        <v>7583</v>
      </c>
    </row>
    <row r="58" spans="1:9" s="712" customFormat="1" ht="12.75" x14ac:dyDescent="0.2">
      <c r="A58" s="713">
        <v>193560</v>
      </c>
      <c r="B58" s="712" t="s">
        <v>1977</v>
      </c>
    </row>
    <row r="59" spans="1:9" s="712" customFormat="1" ht="12.75" x14ac:dyDescent="0.2">
      <c r="A59" s="713">
        <v>248766</v>
      </c>
      <c r="B59" s="711" t="s">
        <v>6865</v>
      </c>
      <c r="C59" s="610"/>
    </row>
    <row r="60" spans="1:9" s="712" customFormat="1" x14ac:dyDescent="0.25">
      <c r="A60" s="713">
        <v>206826</v>
      </c>
      <c r="B60" s="610" t="s">
        <v>7584</v>
      </c>
      <c r="C60" s="519"/>
      <c r="D60" s="519"/>
      <c r="E60" s="519"/>
      <c r="F60" s="519"/>
      <c r="G60" s="519"/>
      <c r="H60" s="519"/>
      <c r="I60" s="519"/>
    </row>
    <row r="61" spans="1:9" s="712" customFormat="1" ht="12.75" x14ac:dyDescent="0.2">
      <c r="A61" s="713">
        <v>243751</v>
      </c>
      <c r="B61" s="711" t="s">
        <v>7685</v>
      </c>
    </row>
    <row r="62" spans="1:9" s="712" customFormat="1" ht="12.75" x14ac:dyDescent="0.2">
      <c r="A62" s="713">
        <v>192220</v>
      </c>
      <c r="B62" s="610" t="s">
        <v>7585</v>
      </c>
      <c r="C62" s="610"/>
    </row>
    <row r="63" spans="1:9" s="712" customFormat="1" x14ac:dyDescent="0.25">
      <c r="A63" s="713">
        <v>233271</v>
      </c>
      <c r="B63" s="610" t="s">
        <v>7586</v>
      </c>
      <c r="C63" s="519"/>
      <c r="D63" s="519"/>
      <c r="E63" s="519"/>
      <c r="F63" s="519"/>
      <c r="G63" s="519"/>
      <c r="H63" s="519"/>
      <c r="I63" s="519"/>
    </row>
    <row r="64" spans="1:9" s="712" customFormat="1" ht="12.75" x14ac:dyDescent="0.2">
      <c r="A64" s="713">
        <v>122215</v>
      </c>
      <c r="B64" s="711" t="s">
        <v>7587</v>
      </c>
    </row>
    <row r="65" spans="1:9" s="712" customFormat="1" ht="12.75" x14ac:dyDescent="0.2">
      <c r="A65" s="713">
        <v>226036</v>
      </c>
      <c r="B65" s="711" t="s">
        <v>7947</v>
      </c>
    </row>
    <row r="66" spans="1:9" s="712" customFormat="1" ht="12.75" x14ac:dyDescent="0.2">
      <c r="A66" s="713">
        <v>14151</v>
      </c>
      <c r="B66" s="711" t="s">
        <v>322</v>
      </c>
      <c r="C66" s="610"/>
    </row>
    <row r="67" spans="1:9" s="712" customFormat="1" ht="12.75" x14ac:dyDescent="0.2">
      <c r="A67" s="713">
        <v>57994</v>
      </c>
      <c r="B67" s="610" t="s">
        <v>7588</v>
      </c>
      <c r="C67" s="610"/>
    </row>
    <row r="68" spans="1:9" s="712" customFormat="1" ht="12.75" x14ac:dyDescent="0.2">
      <c r="A68" s="713">
        <v>60065</v>
      </c>
      <c r="B68" s="711" t="s">
        <v>318</v>
      </c>
    </row>
    <row r="69" spans="1:9" s="712" customFormat="1" ht="12.75" x14ac:dyDescent="0.2">
      <c r="A69" s="713">
        <v>114819</v>
      </c>
      <c r="B69" s="711" t="s">
        <v>4134</v>
      </c>
    </row>
    <row r="70" spans="1:9" s="712" customFormat="1" ht="12.75" x14ac:dyDescent="0.2">
      <c r="A70" s="713">
        <v>41367</v>
      </c>
      <c r="B70" s="711" t="s">
        <v>642</v>
      </c>
      <c r="C70" s="711"/>
    </row>
    <row r="71" spans="1:9" s="712" customFormat="1" ht="12.75" x14ac:dyDescent="0.2">
      <c r="A71" s="713">
        <v>52003</v>
      </c>
      <c r="B71" s="711" t="s">
        <v>7589</v>
      </c>
      <c r="C71" s="610"/>
    </row>
    <row r="72" spans="1:9" s="712" customFormat="1" ht="12.75" x14ac:dyDescent="0.2">
      <c r="A72" s="713">
        <v>49256</v>
      </c>
      <c r="B72" s="711" t="s">
        <v>7590</v>
      </c>
    </row>
    <row r="73" spans="1:9" s="712" customFormat="1" ht="12.75" x14ac:dyDescent="0.2">
      <c r="A73" s="713">
        <v>101136</v>
      </c>
      <c r="B73" s="711" t="s">
        <v>4723</v>
      </c>
    </row>
    <row r="74" spans="1:9" s="712" customFormat="1" ht="12.75" x14ac:dyDescent="0.2">
      <c r="A74" s="713">
        <v>13621</v>
      </c>
      <c r="B74" s="711" t="s">
        <v>5541</v>
      </c>
    </row>
    <row r="75" spans="1:9" s="712" customFormat="1" ht="12.75" x14ac:dyDescent="0.2">
      <c r="A75" s="713">
        <v>118666</v>
      </c>
      <c r="B75" s="711" t="s">
        <v>6866</v>
      </c>
    </row>
    <row r="76" spans="1:9" s="712" customFormat="1" ht="12.75" x14ac:dyDescent="0.2">
      <c r="A76" s="713">
        <v>229109</v>
      </c>
      <c r="B76" s="711" t="s">
        <v>6867</v>
      </c>
    </row>
    <row r="77" spans="1:9" s="712" customFormat="1" ht="12.75" x14ac:dyDescent="0.2">
      <c r="A77" s="713">
        <v>200452</v>
      </c>
      <c r="B77" s="711" t="s">
        <v>7591</v>
      </c>
    </row>
    <row r="78" spans="1:9" s="712" customFormat="1" ht="12.75" x14ac:dyDescent="0.2">
      <c r="A78" s="713">
        <v>215948</v>
      </c>
      <c r="B78" s="711" t="s">
        <v>7592</v>
      </c>
    </row>
    <row r="79" spans="1:9" s="712" customFormat="1" x14ac:dyDescent="0.25">
      <c r="A79" s="713">
        <v>91035</v>
      </c>
      <c r="B79" s="711" t="s">
        <v>6912</v>
      </c>
      <c r="C79" s="519"/>
      <c r="D79" s="519"/>
      <c r="E79" s="519"/>
      <c r="F79" s="519"/>
      <c r="G79" s="519"/>
      <c r="H79" s="519"/>
      <c r="I79" s="519"/>
    </row>
    <row r="80" spans="1:9" s="712" customFormat="1" ht="12.75" x14ac:dyDescent="0.2">
      <c r="A80" s="713">
        <v>36312</v>
      </c>
      <c r="B80" s="711" t="s">
        <v>8391</v>
      </c>
      <c r="C80" s="610"/>
    </row>
    <row r="81" spans="1:9" s="711" customFormat="1" ht="12.75" x14ac:dyDescent="0.2">
      <c r="A81" s="713">
        <v>103149</v>
      </c>
      <c r="B81" s="711" t="s">
        <v>7470</v>
      </c>
      <c r="D81" s="712"/>
      <c r="E81" s="712"/>
      <c r="F81" s="712"/>
      <c r="G81" s="712"/>
      <c r="H81" s="712"/>
      <c r="I81" s="712"/>
    </row>
    <row r="82" spans="1:9" s="711" customFormat="1" ht="12.75" x14ac:dyDescent="0.2">
      <c r="A82" s="713">
        <v>100524</v>
      </c>
      <c r="B82" s="711" t="s">
        <v>4718</v>
      </c>
      <c r="C82" s="610"/>
      <c r="D82" s="712"/>
      <c r="E82" s="712"/>
      <c r="F82" s="712"/>
      <c r="G82" s="712"/>
      <c r="H82" s="712"/>
      <c r="I82" s="712"/>
    </row>
    <row r="83" spans="1:9" s="712" customFormat="1" ht="12.75" x14ac:dyDescent="0.2">
      <c r="A83" s="713">
        <v>176984</v>
      </c>
      <c r="B83" s="711" t="s">
        <v>411</v>
      </c>
      <c r="C83" s="610"/>
    </row>
    <row r="84" spans="1:9" s="712" customFormat="1" ht="12.75" x14ac:dyDescent="0.2">
      <c r="A84" s="713"/>
      <c r="B84" s="711" t="s">
        <v>9146</v>
      </c>
      <c r="C84" s="610"/>
    </row>
    <row r="85" spans="1:9" s="712" customFormat="1" ht="12.75" x14ac:dyDescent="0.2">
      <c r="A85" s="713">
        <v>119481</v>
      </c>
      <c r="B85" s="711" t="s">
        <v>1978</v>
      </c>
    </row>
    <row r="86" spans="1:9" s="712" customFormat="1" ht="12.75" x14ac:dyDescent="0.2">
      <c r="A86" s="713">
        <v>39903</v>
      </c>
      <c r="B86" s="712" t="s">
        <v>7593</v>
      </c>
    </row>
    <row r="87" spans="1:9" s="712" customFormat="1" ht="12.75" x14ac:dyDescent="0.2">
      <c r="A87" s="713">
        <v>107177</v>
      </c>
      <c r="B87" s="711" t="s">
        <v>6985</v>
      </c>
    </row>
    <row r="88" spans="1:9" s="712" customFormat="1" ht="12.75" x14ac:dyDescent="0.2">
      <c r="A88" s="713">
        <v>55764</v>
      </c>
      <c r="B88" s="711" t="s">
        <v>1029</v>
      </c>
    </row>
    <row r="89" spans="1:9" s="712" customFormat="1" ht="15" customHeight="1" x14ac:dyDescent="0.2">
      <c r="A89" s="713">
        <v>79561</v>
      </c>
      <c r="B89" s="711" t="s">
        <v>6908</v>
      </c>
    </row>
    <row r="90" spans="1:9" s="712" customFormat="1" ht="15" customHeight="1" x14ac:dyDescent="0.2">
      <c r="A90" s="713">
        <v>235189</v>
      </c>
      <c r="B90" s="711" t="s">
        <v>7594</v>
      </c>
    </row>
    <row r="91" spans="1:9" s="712" customFormat="1" ht="12.75" x14ac:dyDescent="0.2">
      <c r="A91" s="713">
        <v>230042</v>
      </c>
      <c r="B91" s="711" t="s">
        <v>7595</v>
      </c>
    </row>
    <row r="92" spans="1:9" s="712" customFormat="1" ht="12.75" x14ac:dyDescent="0.2">
      <c r="A92" s="713">
        <v>243380</v>
      </c>
      <c r="B92" s="711" t="s">
        <v>7596</v>
      </c>
    </row>
    <row r="93" spans="1:9" s="712" customFormat="1" x14ac:dyDescent="0.25">
      <c r="A93" s="713">
        <v>248014</v>
      </c>
      <c r="B93" s="711" t="s">
        <v>6868</v>
      </c>
      <c r="C93" s="519"/>
      <c r="D93" s="519"/>
      <c r="E93" s="519"/>
      <c r="F93" s="519"/>
      <c r="G93" s="519"/>
      <c r="H93" s="519"/>
      <c r="I93" s="519"/>
    </row>
    <row r="94" spans="1:9" s="712" customFormat="1" ht="15" customHeight="1" x14ac:dyDescent="0.2">
      <c r="A94" s="713">
        <v>88072</v>
      </c>
      <c r="B94" s="711" t="s">
        <v>7488</v>
      </c>
      <c r="C94" s="711"/>
    </row>
    <row r="95" spans="1:9" s="712" customFormat="1" ht="12.75" x14ac:dyDescent="0.2">
      <c r="A95" s="713">
        <v>114449</v>
      </c>
      <c r="B95" s="711" t="s">
        <v>6869</v>
      </c>
    </row>
    <row r="96" spans="1:9" s="712" customFormat="1" ht="12.75" x14ac:dyDescent="0.2">
      <c r="A96" s="713">
        <v>48673</v>
      </c>
      <c r="B96" s="711" t="s">
        <v>5147</v>
      </c>
    </row>
    <row r="97" spans="1:9" s="712" customFormat="1" ht="12.75" x14ac:dyDescent="0.2">
      <c r="A97" s="713">
        <v>117014</v>
      </c>
      <c r="B97" s="711" t="s">
        <v>5542</v>
      </c>
    </row>
    <row r="98" spans="1:9" s="712" customFormat="1" ht="12.75" x14ac:dyDescent="0.2">
      <c r="A98" s="713">
        <v>115964</v>
      </c>
      <c r="B98" s="711" t="s">
        <v>6870</v>
      </c>
    </row>
    <row r="99" spans="1:9" s="712" customFormat="1" ht="12.75" x14ac:dyDescent="0.2">
      <c r="A99" s="713">
        <v>248259</v>
      </c>
      <c r="B99" s="711" t="s">
        <v>7597</v>
      </c>
    </row>
    <row r="100" spans="1:9" s="712" customFormat="1" ht="15" customHeight="1" x14ac:dyDescent="0.25">
      <c r="A100" s="713">
        <v>245138</v>
      </c>
      <c r="B100" s="711" t="s">
        <v>7598</v>
      </c>
      <c r="C100" s="519"/>
      <c r="D100" s="519"/>
      <c r="E100" s="519"/>
      <c r="F100" s="519"/>
      <c r="G100" s="519"/>
      <c r="H100" s="519"/>
      <c r="I100" s="519"/>
    </row>
    <row r="101" spans="1:9" s="712" customFormat="1" ht="15" customHeight="1" x14ac:dyDescent="0.2">
      <c r="A101" s="713">
        <v>69445</v>
      </c>
      <c r="B101" s="711" t="s">
        <v>8559</v>
      </c>
    </row>
    <row r="102" spans="1:9" s="712" customFormat="1" ht="15" customHeight="1" x14ac:dyDescent="0.2">
      <c r="A102" s="713">
        <v>233291</v>
      </c>
      <c r="B102" s="14" t="s">
        <v>8463</v>
      </c>
    </row>
    <row r="103" spans="1:9" s="712" customFormat="1" ht="15" customHeight="1" x14ac:dyDescent="0.2">
      <c r="A103" s="713">
        <v>80493</v>
      </c>
      <c r="B103" s="711" t="s">
        <v>7599</v>
      </c>
    </row>
    <row r="104" spans="1:9" s="712" customFormat="1" ht="15" customHeight="1" x14ac:dyDescent="0.25">
      <c r="A104" s="713">
        <v>218608</v>
      </c>
      <c r="B104" s="711" t="s">
        <v>7600</v>
      </c>
    </row>
    <row r="105" spans="1:9" s="712" customFormat="1" ht="15" customHeight="1" x14ac:dyDescent="0.25">
      <c r="A105" s="713">
        <v>58116</v>
      </c>
      <c r="B105" s="711" t="s">
        <v>7601</v>
      </c>
      <c r="C105" s="519"/>
      <c r="D105" s="519"/>
      <c r="E105" s="519"/>
      <c r="F105" s="519"/>
      <c r="G105" s="519"/>
      <c r="H105" s="519"/>
      <c r="I105" s="519"/>
    </row>
    <row r="106" spans="1:9" s="712" customFormat="1" ht="15" customHeight="1" x14ac:dyDescent="0.2">
      <c r="A106" s="713">
        <v>112289</v>
      </c>
      <c r="B106" s="711" t="s">
        <v>7602</v>
      </c>
    </row>
    <row r="107" spans="1:9" s="712" customFormat="1" ht="15" customHeight="1" x14ac:dyDescent="0.2">
      <c r="A107" s="713">
        <v>249227</v>
      </c>
      <c r="B107" s="711" t="s">
        <v>7909</v>
      </c>
    </row>
    <row r="108" spans="1:9" s="712" customFormat="1" ht="15" customHeight="1" x14ac:dyDescent="0.2">
      <c r="A108" s="713">
        <v>239140</v>
      </c>
      <c r="B108" s="711" t="s">
        <v>6871</v>
      </c>
      <c r="D108" s="711"/>
      <c r="E108" s="711"/>
      <c r="F108" s="711"/>
      <c r="G108" s="711"/>
      <c r="H108" s="711"/>
      <c r="I108" s="711"/>
    </row>
    <row r="109" spans="1:9" s="712" customFormat="1" ht="15" customHeight="1" x14ac:dyDescent="0.2">
      <c r="A109" s="713">
        <v>217069</v>
      </c>
      <c r="B109" s="711" t="s">
        <v>6872</v>
      </c>
      <c r="C109" s="711"/>
      <c r="D109" s="711"/>
      <c r="E109" s="711"/>
      <c r="F109" s="711"/>
      <c r="G109" s="711"/>
      <c r="H109" s="711"/>
      <c r="I109" s="711"/>
    </row>
    <row r="110" spans="1:9" s="712" customFormat="1" ht="15" customHeight="1" x14ac:dyDescent="0.25">
      <c r="A110" s="713">
        <v>217067</v>
      </c>
      <c r="B110" s="711" t="s">
        <v>7603</v>
      </c>
      <c r="C110" s="519"/>
      <c r="D110" s="519"/>
      <c r="E110" s="519"/>
      <c r="F110" s="519"/>
      <c r="G110" s="519"/>
      <c r="H110" s="519"/>
      <c r="I110" s="519"/>
    </row>
    <row r="111" spans="1:9" s="712" customFormat="1" ht="15" customHeight="1" x14ac:dyDescent="0.2">
      <c r="A111" s="713">
        <v>226772</v>
      </c>
      <c r="B111" s="711" t="s">
        <v>7604</v>
      </c>
    </row>
    <row r="112" spans="1:9" s="712" customFormat="1" ht="12.75" x14ac:dyDescent="0.2">
      <c r="A112" s="713">
        <v>147799</v>
      </c>
      <c r="B112" s="711" t="s">
        <v>7910</v>
      </c>
    </row>
    <row r="113" spans="1:3" s="712" customFormat="1" ht="12.75" x14ac:dyDescent="0.2">
      <c r="A113" s="713">
        <v>41370</v>
      </c>
      <c r="B113" s="711" t="s">
        <v>9213</v>
      </c>
      <c r="C113" s="610"/>
    </row>
    <row r="114" spans="1:3" s="712" customFormat="1" ht="12.75" x14ac:dyDescent="0.2">
      <c r="A114" s="713">
        <v>57249</v>
      </c>
      <c r="B114" s="711" t="s">
        <v>6873</v>
      </c>
    </row>
    <row r="115" spans="1:3" s="712" customFormat="1" ht="12.75" x14ac:dyDescent="0.2">
      <c r="A115" s="713">
        <v>19010</v>
      </c>
      <c r="B115" s="711" t="s">
        <v>1959</v>
      </c>
    </row>
    <row r="116" spans="1:3" s="712" customFormat="1" ht="12.75" x14ac:dyDescent="0.2">
      <c r="A116" s="713">
        <v>9009</v>
      </c>
      <c r="B116" s="711" t="s">
        <v>324</v>
      </c>
    </row>
    <row r="117" spans="1:3" s="712" customFormat="1" ht="12.75" x14ac:dyDescent="0.2">
      <c r="A117" s="713">
        <v>99514</v>
      </c>
      <c r="B117" s="711" t="s">
        <v>5538</v>
      </c>
    </row>
    <row r="118" spans="1:3" s="712" customFormat="1" ht="12.75" x14ac:dyDescent="0.2">
      <c r="A118" s="713">
        <v>249197</v>
      </c>
      <c r="B118" s="711" t="s">
        <v>6874</v>
      </c>
    </row>
    <row r="119" spans="1:3" s="712" customFormat="1" ht="14.25" x14ac:dyDescent="0.25">
      <c r="A119" s="713">
        <v>239043</v>
      </c>
      <c r="B119" s="711" t="s">
        <v>7605</v>
      </c>
      <c r="C119" s="610"/>
    </row>
    <row r="120" spans="1:3" s="712" customFormat="1" ht="12.75" x14ac:dyDescent="0.2">
      <c r="A120" s="713">
        <v>80068</v>
      </c>
      <c r="B120" s="711" t="s">
        <v>7606</v>
      </c>
      <c r="C120" s="610"/>
    </row>
    <row r="121" spans="1:3" s="712" customFormat="1" ht="12.75" x14ac:dyDescent="0.2">
      <c r="A121" s="713">
        <v>230712</v>
      </c>
      <c r="B121" s="711" t="s">
        <v>7607</v>
      </c>
      <c r="C121" s="610"/>
    </row>
    <row r="122" spans="1:3" s="712" customFormat="1" ht="15" customHeight="1" x14ac:dyDescent="0.2">
      <c r="A122" s="713">
        <v>239068</v>
      </c>
      <c r="B122" s="711" t="s">
        <v>7608</v>
      </c>
      <c r="C122" s="610"/>
    </row>
    <row r="123" spans="1:3" s="712" customFormat="1" ht="12.75" x14ac:dyDescent="0.2">
      <c r="A123" s="713">
        <v>77646</v>
      </c>
      <c r="B123" s="711" t="s">
        <v>1979</v>
      </c>
    </row>
    <row r="124" spans="1:3" s="712" customFormat="1" ht="12.75" x14ac:dyDescent="0.2">
      <c r="A124" s="713">
        <v>248818</v>
      </c>
      <c r="B124" s="711" t="s">
        <v>5672</v>
      </c>
    </row>
    <row r="125" spans="1:3" s="712" customFormat="1" ht="13.5" customHeight="1" x14ac:dyDescent="0.2">
      <c r="A125" s="713">
        <v>72636</v>
      </c>
      <c r="B125" s="711" t="s">
        <v>7609</v>
      </c>
    </row>
    <row r="126" spans="1:3" s="712" customFormat="1" ht="12.75" x14ac:dyDescent="0.2">
      <c r="A126" s="713">
        <v>49685</v>
      </c>
      <c r="B126" s="711" t="s">
        <v>6875</v>
      </c>
    </row>
    <row r="127" spans="1:3" s="712" customFormat="1" ht="12.75" x14ac:dyDescent="0.2">
      <c r="A127" s="713">
        <v>53312</v>
      </c>
      <c r="B127" s="610" t="s">
        <v>7610</v>
      </c>
    </row>
    <row r="128" spans="1:3" s="712" customFormat="1" ht="12.75" x14ac:dyDescent="0.2">
      <c r="A128" s="713">
        <v>31970</v>
      </c>
      <c r="B128" s="711" t="s">
        <v>1983</v>
      </c>
      <c r="C128" s="711"/>
    </row>
    <row r="129" spans="1:9" s="712" customFormat="1" ht="12.75" x14ac:dyDescent="0.2">
      <c r="A129" s="713">
        <v>118761</v>
      </c>
      <c r="B129" s="711" t="s">
        <v>7611</v>
      </c>
    </row>
    <row r="130" spans="1:9" s="712" customFormat="1" ht="12.75" x14ac:dyDescent="0.2">
      <c r="A130" s="713">
        <v>206825</v>
      </c>
      <c r="B130" s="711" t="s">
        <v>9218</v>
      </c>
    </row>
    <row r="131" spans="1:9" s="712" customFormat="1" x14ac:dyDescent="0.25">
      <c r="A131" s="713">
        <v>199345</v>
      </c>
      <c r="B131" s="711" t="s">
        <v>7612</v>
      </c>
      <c r="C131" s="519"/>
      <c r="D131" s="519"/>
      <c r="E131" s="519"/>
      <c r="F131" s="519"/>
      <c r="G131" s="519"/>
      <c r="H131" s="519"/>
      <c r="I131" s="519"/>
    </row>
    <row r="132" spans="1:9" s="712" customFormat="1" ht="12.75" x14ac:dyDescent="0.2">
      <c r="A132" s="713">
        <v>103102</v>
      </c>
      <c r="B132" s="711" t="s">
        <v>7558</v>
      </c>
    </row>
    <row r="133" spans="1:9" s="712" customFormat="1" ht="12.75" x14ac:dyDescent="0.2">
      <c r="A133" s="713">
        <v>119483</v>
      </c>
      <c r="B133" s="610" t="s">
        <v>6876</v>
      </c>
    </row>
    <row r="134" spans="1:9" s="712" customFormat="1" ht="12.75" x14ac:dyDescent="0.2">
      <c r="A134" s="713">
        <v>124717</v>
      </c>
      <c r="B134" s="711" t="s">
        <v>7559</v>
      </c>
    </row>
    <row r="135" spans="1:9" s="712" customFormat="1" ht="12.75" x14ac:dyDescent="0.2">
      <c r="A135" s="713">
        <v>112131</v>
      </c>
      <c r="B135" s="711" t="s">
        <v>7613</v>
      </c>
    </row>
    <row r="136" spans="1:9" s="712" customFormat="1" ht="12.75" x14ac:dyDescent="0.2">
      <c r="A136" s="713">
        <v>134044</v>
      </c>
      <c r="B136" s="711" t="s">
        <v>7614</v>
      </c>
    </row>
    <row r="137" spans="1:9" s="712" customFormat="1" ht="12.75" x14ac:dyDescent="0.2">
      <c r="A137" s="713">
        <v>242056</v>
      </c>
      <c r="B137" s="711" t="s">
        <v>6877</v>
      </c>
    </row>
    <row r="138" spans="1:9" s="712" customFormat="1" ht="12.75" x14ac:dyDescent="0.2">
      <c r="A138" s="713">
        <v>234351</v>
      </c>
      <c r="B138" s="711" t="s">
        <v>7615</v>
      </c>
      <c r="C138" s="711"/>
    </row>
    <row r="139" spans="1:9" s="712" customFormat="1" ht="12.75" x14ac:dyDescent="0.2">
      <c r="A139" s="713">
        <v>241097</v>
      </c>
      <c r="B139" s="711" t="s">
        <v>7887</v>
      </c>
    </row>
    <row r="140" spans="1:9" s="712" customFormat="1" ht="12.75" x14ac:dyDescent="0.2">
      <c r="A140" s="713">
        <v>243242</v>
      </c>
      <c r="B140" s="711" t="s">
        <v>3455</v>
      </c>
      <c r="C140" s="711"/>
    </row>
    <row r="141" spans="1:9" s="712" customFormat="1" ht="12.75" x14ac:dyDescent="0.2">
      <c r="A141" s="713">
        <v>245754</v>
      </c>
      <c r="B141" s="711" t="s">
        <v>3456</v>
      </c>
    </row>
    <row r="142" spans="1:9" s="712" customFormat="1" ht="12.75" x14ac:dyDescent="0.2">
      <c r="A142" s="713">
        <v>213817</v>
      </c>
      <c r="B142" s="711" t="s">
        <v>6878</v>
      </c>
    </row>
    <row r="143" spans="1:9" s="712" customFormat="1" ht="12.75" x14ac:dyDescent="0.2">
      <c r="A143" s="713">
        <v>226091</v>
      </c>
      <c r="B143" s="711" t="s">
        <v>5658</v>
      </c>
    </row>
    <row r="144" spans="1:9" s="712" customFormat="1" x14ac:dyDescent="0.25">
      <c r="A144" s="713">
        <v>233977</v>
      </c>
      <c r="B144" s="610" t="s">
        <v>6906</v>
      </c>
      <c r="C144" s="519"/>
      <c r="D144" s="519"/>
      <c r="E144" s="519"/>
      <c r="F144" s="519"/>
      <c r="G144" s="519"/>
      <c r="H144" s="519"/>
      <c r="I144" s="519"/>
    </row>
    <row r="145" spans="1:9" s="712" customFormat="1" ht="12.75" customHeight="1" x14ac:dyDescent="0.25">
      <c r="A145" s="713">
        <v>239388</v>
      </c>
      <c r="B145" s="711" t="s">
        <v>7888</v>
      </c>
      <c r="C145" s="519"/>
      <c r="D145" s="519"/>
      <c r="E145" s="519"/>
      <c r="F145" s="519"/>
      <c r="G145" s="519"/>
      <c r="H145" s="519"/>
      <c r="I145" s="519"/>
    </row>
    <row r="146" spans="1:9" s="712" customFormat="1" ht="13.5" customHeight="1" x14ac:dyDescent="0.2">
      <c r="A146" s="713">
        <v>107759</v>
      </c>
      <c r="B146" s="712" t="s">
        <v>7616</v>
      </c>
    </row>
    <row r="147" spans="1:9" s="712" customFormat="1" ht="12.75" x14ac:dyDescent="0.2">
      <c r="A147" s="713">
        <v>188038</v>
      </c>
      <c r="B147" s="711" t="s">
        <v>7617</v>
      </c>
    </row>
    <row r="148" spans="1:9" s="712" customFormat="1" ht="12.75" x14ac:dyDescent="0.2">
      <c r="A148" s="713">
        <v>136298</v>
      </c>
      <c r="B148" s="711" t="s">
        <v>7549</v>
      </c>
      <c r="C148" s="711"/>
    </row>
    <row r="149" spans="1:9" s="712" customFormat="1" ht="12.75" x14ac:dyDescent="0.2">
      <c r="A149" s="713">
        <v>177848</v>
      </c>
      <c r="B149" s="610" t="s">
        <v>6879</v>
      </c>
    </row>
    <row r="150" spans="1:9" s="712" customFormat="1" ht="12.75" x14ac:dyDescent="0.2">
      <c r="A150" s="713">
        <v>248304</v>
      </c>
      <c r="B150" s="610" t="s">
        <v>7986</v>
      </c>
    </row>
    <row r="151" spans="1:9" s="712" customFormat="1" ht="12.75" x14ac:dyDescent="0.2">
      <c r="A151" s="713">
        <v>194754</v>
      </c>
      <c r="B151" s="711" t="s">
        <v>7618</v>
      </c>
    </row>
    <row r="152" spans="1:9" s="712" customFormat="1" ht="12.75" x14ac:dyDescent="0.2">
      <c r="A152" s="713">
        <v>121433</v>
      </c>
      <c r="B152" s="711" t="s">
        <v>1981</v>
      </c>
    </row>
    <row r="153" spans="1:9" s="712" customFormat="1" ht="12.75" x14ac:dyDescent="0.2">
      <c r="A153" s="713">
        <v>187164</v>
      </c>
      <c r="B153" s="711" t="s">
        <v>7542</v>
      </c>
    </row>
    <row r="154" spans="1:9" s="712" customFormat="1" ht="15" customHeight="1" x14ac:dyDescent="0.2">
      <c r="A154" s="713">
        <v>107236</v>
      </c>
      <c r="B154" s="711" t="s">
        <v>6880</v>
      </c>
    </row>
    <row r="155" spans="1:9" s="712" customFormat="1" ht="15" customHeight="1" x14ac:dyDescent="0.2">
      <c r="A155" s="713">
        <v>77645</v>
      </c>
      <c r="B155" s="712" t="s">
        <v>6918</v>
      </c>
    </row>
    <row r="156" spans="1:9" s="712" customFormat="1" ht="15" customHeight="1" x14ac:dyDescent="0.25">
      <c r="A156" s="713">
        <v>60161</v>
      </c>
      <c r="B156" s="711" t="s">
        <v>7619</v>
      </c>
      <c r="C156" s="519"/>
      <c r="D156" s="519"/>
      <c r="E156" s="519"/>
      <c r="F156" s="519"/>
      <c r="G156" s="519"/>
      <c r="H156" s="519"/>
      <c r="I156" s="519"/>
    </row>
    <row r="157" spans="1:9" s="712" customFormat="1" x14ac:dyDescent="0.25">
      <c r="A157" s="713">
        <v>77645</v>
      </c>
      <c r="B157" s="711" t="s">
        <v>6854</v>
      </c>
      <c r="C157" s="519"/>
      <c r="D157" s="519"/>
      <c r="E157" s="519"/>
      <c r="F157" s="519"/>
      <c r="G157" s="519"/>
      <c r="H157" s="519"/>
      <c r="I157" s="519"/>
    </row>
    <row r="158" spans="1:9" s="712" customFormat="1" ht="15" customHeight="1" x14ac:dyDescent="0.2">
      <c r="A158" s="713">
        <v>93253</v>
      </c>
      <c r="B158" s="711" t="s">
        <v>666</v>
      </c>
    </row>
    <row r="159" spans="1:9" s="712" customFormat="1" ht="12.75" x14ac:dyDescent="0.2">
      <c r="A159" s="713">
        <v>15512</v>
      </c>
      <c r="B159" s="711" t="s">
        <v>9211</v>
      </c>
    </row>
    <row r="160" spans="1:9" s="712" customFormat="1" ht="15" customHeight="1" x14ac:dyDescent="0.2">
      <c r="A160" s="713">
        <v>11678</v>
      </c>
      <c r="B160" s="711" t="s">
        <v>8450</v>
      </c>
      <c r="C160" s="711"/>
    </row>
    <row r="161" spans="1:9" s="712" customFormat="1" ht="12.75" x14ac:dyDescent="0.2">
      <c r="A161" s="713">
        <v>15511</v>
      </c>
      <c r="B161" s="711" t="s">
        <v>5543</v>
      </c>
    </row>
    <row r="162" spans="1:9" s="712" customFormat="1" ht="12.75" x14ac:dyDescent="0.2">
      <c r="A162" s="713">
        <v>188385</v>
      </c>
      <c r="B162" s="711" t="s">
        <v>6881</v>
      </c>
    </row>
    <row r="163" spans="1:9" s="712" customFormat="1" ht="12.75" x14ac:dyDescent="0.2">
      <c r="A163" s="713">
        <v>25611</v>
      </c>
      <c r="B163" s="711" t="s">
        <v>6907</v>
      </c>
    </row>
    <row r="164" spans="1:9" s="712" customFormat="1" ht="12.75" x14ac:dyDescent="0.2">
      <c r="A164" s="713">
        <v>117858</v>
      </c>
      <c r="B164" s="711" t="s">
        <v>7620</v>
      </c>
    </row>
    <row r="165" spans="1:9" s="712" customFormat="1" ht="12.75" x14ac:dyDescent="0.2">
      <c r="A165" s="713">
        <v>122302</v>
      </c>
      <c r="B165" s="711" t="s">
        <v>6882</v>
      </c>
    </row>
    <row r="166" spans="1:9" s="712" customFormat="1" ht="12.75" x14ac:dyDescent="0.2">
      <c r="A166" s="713">
        <v>220569</v>
      </c>
      <c r="B166" s="711" t="s">
        <v>7621</v>
      </c>
    </row>
    <row r="167" spans="1:9" s="712" customFormat="1" ht="12.75" x14ac:dyDescent="0.2">
      <c r="A167" s="713">
        <v>246030</v>
      </c>
      <c r="B167" s="711" t="s">
        <v>7622</v>
      </c>
      <c r="C167" s="711"/>
    </row>
    <row r="168" spans="1:9" s="712" customFormat="1" x14ac:dyDescent="0.25">
      <c r="A168" s="713">
        <v>101630</v>
      </c>
      <c r="B168" s="711" t="s">
        <v>1987</v>
      </c>
      <c r="C168" s="519"/>
      <c r="D168" s="519"/>
      <c r="E168" s="519"/>
      <c r="F168" s="519"/>
      <c r="G168" s="519"/>
      <c r="H168" s="519"/>
      <c r="I168" s="519"/>
    </row>
    <row r="169" spans="1:9" s="712" customFormat="1" x14ac:dyDescent="0.25">
      <c r="A169" s="713">
        <v>188612</v>
      </c>
      <c r="B169" s="711" t="s">
        <v>6883</v>
      </c>
      <c r="C169" s="519"/>
      <c r="D169" s="519"/>
      <c r="E169" s="519"/>
      <c r="F169" s="519"/>
      <c r="G169" s="519"/>
      <c r="H169" s="519"/>
      <c r="I169" s="519"/>
    </row>
    <row r="170" spans="1:9" s="712" customFormat="1" ht="12.75" x14ac:dyDescent="0.2">
      <c r="A170" s="713">
        <v>120550</v>
      </c>
      <c r="B170" s="711" t="s">
        <v>7623</v>
      </c>
    </row>
    <row r="171" spans="1:9" s="712" customFormat="1" x14ac:dyDescent="0.25">
      <c r="A171" s="713">
        <v>110928</v>
      </c>
      <c r="B171" s="711" t="s">
        <v>7475</v>
      </c>
      <c r="C171" s="519"/>
      <c r="D171" s="519"/>
      <c r="E171" s="519"/>
      <c r="F171" s="519"/>
      <c r="G171" s="519"/>
      <c r="H171" s="519"/>
      <c r="I171" s="519"/>
    </row>
    <row r="172" spans="1:9" s="712" customFormat="1" ht="12.75" x14ac:dyDescent="0.2">
      <c r="A172" s="713">
        <v>125748</v>
      </c>
      <c r="B172" s="711" t="s">
        <v>6884</v>
      </c>
    </row>
    <row r="173" spans="1:9" s="712" customFormat="1" ht="12.75" x14ac:dyDescent="0.2">
      <c r="A173" s="713">
        <v>172853</v>
      </c>
      <c r="B173" s="711" t="s">
        <v>7476</v>
      </c>
    </row>
    <row r="174" spans="1:9" s="712" customFormat="1" ht="12.75" x14ac:dyDescent="0.2">
      <c r="A174" s="713">
        <v>80892</v>
      </c>
      <c r="B174" s="711" t="s">
        <v>1982</v>
      </c>
    </row>
    <row r="175" spans="1:9" s="712" customFormat="1" ht="12.75" x14ac:dyDescent="0.2">
      <c r="A175" s="713">
        <v>237529</v>
      </c>
      <c r="B175" s="711" t="s">
        <v>6885</v>
      </c>
    </row>
    <row r="176" spans="1:9" s="712" customFormat="1" ht="12.75" x14ac:dyDescent="0.2">
      <c r="A176" s="713">
        <v>178376</v>
      </c>
      <c r="B176" s="610" t="s">
        <v>6886</v>
      </c>
    </row>
    <row r="177" spans="1:9" s="712" customFormat="1" ht="12.75" x14ac:dyDescent="0.2">
      <c r="A177" s="713">
        <v>171722</v>
      </c>
      <c r="B177" s="610" t="s">
        <v>6887</v>
      </c>
    </row>
    <row r="178" spans="1:9" s="712" customFormat="1" ht="12.75" x14ac:dyDescent="0.2">
      <c r="A178" s="713">
        <v>132457</v>
      </c>
      <c r="B178" s="711" t="s">
        <v>7624</v>
      </c>
    </row>
    <row r="179" spans="1:9" s="712" customFormat="1" ht="12.75" x14ac:dyDescent="0.2">
      <c r="A179" s="713">
        <v>248456</v>
      </c>
      <c r="B179" s="711" t="s">
        <v>7625</v>
      </c>
    </row>
    <row r="180" spans="1:9" s="712" customFormat="1" ht="12.75" x14ac:dyDescent="0.2">
      <c r="A180" s="713">
        <v>112328</v>
      </c>
      <c r="B180" s="711" t="s">
        <v>7626</v>
      </c>
    </row>
    <row r="181" spans="1:9" s="712" customFormat="1" ht="12.75" x14ac:dyDescent="0.2">
      <c r="A181" s="713">
        <v>44633</v>
      </c>
      <c r="B181" s="712" t="s">
        <v>6888</v>
      </c>
      <c r="C181" s="711"/>
    </row>
    <row r="182" spans="1:9" s="712" customFormat="1" ht="12.75" x14ac:dyDescent="0.2">
      <c r="A182" s="713">
        <v>122042</v>
      </c>
      <c r="B182" s="711" t="s">
        <v>6889</v>
      </c>
    </row>
    <row r="183" spans="1:9" s="712" customFormat="1" ht="12.75" x14ac:dyDescent="0.2">
      <c r="A183" s="713">
        <v>121676</v>
      </c>
      <c r="B183" s="711" t="s">
        <v>7627</v>
      </c>
    </row>
    <row r="184" spans="1:9" s="712" customFormat="1" ht="12.75" x14ac:dyDescent="0.2">
      <c r="A184" s="713">
        <v>115703</v>
      </c>
      <c r="B184" s="711" t="s">
        <v>6903</v>
      </c>
    </row>
    <row r="185" spans="1:9" s="712" customFormat="1" ht="12.75" x14ac:dyDescent="0.2">
      <c r="A185" s="713">
        <v>248231</v>
      </c>
      <c r="B185" s="711" t="s">
        <v>3873</v>
      </c>
    </row>
    <row r="186" spans="1:9" s="712" customFormat="1" ht="12.75" x14ac:dyDescent="0.2">
      <c r="A186" s="713">
        <v>51180</v>
      </c>
      <c r="B186" s="712" t="s">
        <v>3778</v>
      </c>
    </row>
    <row r="187" spans="1:9" s="712" customFormat="1" ht="12.75" x14ac:dyDescent="0.2">
      <c r="A187" s="713">
        <v>60534</v>
      </c>
      <c r="B187" s="711" t="s">
        <v>3777</v>
      </c>
    </row>
    <row r="188" spans="1:9" s="712" customFormat="1" ht="12.75" x14ac:dyDescent="0.2">
      <c r="A188" s="713">
        <v>171678</v>
      </c>
      <c r="B188" s="711" t="s">
        <v>7628</v>
      </c>
    </row>
    <row r="189" spans="1:9" s="712" customFormat="1" ht="12.75" x14ac:dyDescent="0.2">
      <c r="A189" s="713"/>
      <c r="B189" s="711" t="s">
        <v>7519</v>
      </c>
    </row>
    <row r="190" spans="1:9" s="712" customFormat="1" ht="15" customHeight="1" x14ac:dyDescent="0.2">
      <c r="A190" s="713"/>
      <c r="B190" s="711" t="s">
        <v>7551</v>
      </c>
    </row>
    <row r="191" spans="1:9" s="712" customFormat="1" x14ac:dyDescent="0.25">
      <c r="A191" s="713"/>
      <c r="B191" s="711" t="s">
        <v>7629</v>
      </c>
      <c r="C191" s="519"/>
      <c r="D191" s="519"/>
      <c r="E191" s="519"/>
      <c r="F191" s="519"/>
      <c r="G191" s="519"/>
      <c r="H191" s="519"/>
      <c r="I191" s="519"/>
    </row>
    <row r="192" spans="1:9" s="712" customFormat="1" ht="12.75" x14ac:dyDescent="0.2">
      <c r="A192" s="713">
        <v>76189</v>
      </c>
      <c r="B192" s="711" t="s">
        <v>6998</v>
      </c>
      <c r="C192" s="711"/>
    </row>
    <row r="193" spans="1:9" s="712" customFormat="1" ht="15" customHeight="1" x14ac:dyDescent="0.2">
      <c r="A193" s="713">
        <v>121674</v>
      </c>
      <c r="B193" s="711" t="s">
        <v>7630</v>
      </c>
    </row>
    <row r="194" spans="1:9" s="712" customFormat="1" ht="12.75" x14ac:dyDescent="0.2">
      <c r="A194" s="713">
        <v>160929</v>
      </c>
      <c r="B194" s="711" t="s">
        <v>1989</v>
      </c>
    </row>
    <row r="195" spans="1:9" s="712" customFormat="1" ht="12.75" x14ac:dyDescent="0.2">
      <c r="A195" s="713">
        <v>122620</v>
      </c>
      <c r="B195" s="712" t="s">
        <v>7631</v>
      </c>
    </row>
    <row r="196" spans="1:9" s="712" customFormat="1" x14ac:dyDescent="0.25">
      <c r="A196" s="713">
        <v>133360</v>
      </c>
      <c r="B196" s="712" t="s">
        <v>7632</v>
      </c>
      <c r="C196" s="519"/>
      <c r="D196" s="519"/>
      <c r="E196" s="519"/>
      <c r="F196" s="519"/>
      <c r="G196" s="519"/>
      <c r="H196" s="519"/>
      <c r="I196" s="519"/>
    </row>
    <row r="197" spans="1:9" s="712" customFormat="1" ht="12.75" x14ac:dyDescent="0.2">
      <c r="A197" s="713">
        <v>121331</v>
      </c>
      <c r="B197" s="711" t="s">
        <v>4895</v>
      </c>
      <c r="C197" s="711"/>
    </row>
    <row r="198" spans="1:9" s="712" customFormat="1" ht="12.75" x14ac:dyDescent="0.2">
      <c r="A198" s="713">
        <v>77628</v>
      </c>
      <c r="B198" s="711" t="s">
        <v>8458</v>
      </c>
      <c r="C198" s="711"/>
    </row>
    <row r="199" spans="1:9" s="712" customFormat="1" x14ac:dyDescent="0.25">
      <c r="A199" s="713">
        <v>239121</v>
      </c>
      <c r="B199" s="711" t="s">
        <v>9210</v>
      </c>
      <c r="C199" s="519"/>
      <c r="D199" s="519"/>
      <c r="E199" s="519"/>
      <c r="F199" s="519"/>
      <c r="G199" s="519"/>
      <c r="H199" s="519"/>
      <c r="I199" s="519"/>
    </row>
    <row r="200" spans="1:9" s="712" customFormat="1" ht="12.75" x14ac:dyDescent="0.2">
      <c r="A200" s="713">
        <v>229475</v>
      </c>
      <c r="B200" s="712" t="s">
        <v>6890</v>
      </c>
      <c r="C200" s="711"/>
    </row>
    <row r="201" spans="1:9" s="712" customFormat="1" ht="12.75" x14ac:dyDescent="0.2">
      <c r="A201" s="713">
        <v>240991</v>
      </c>
      <c r="B201" s="711" t="s">
        <v>7633</v>
      </c>
    </row>
    <row r="202" spans="1:9" s="712" customFormat="1" ht="12.75" x14ac:dyDescent="0.2">
      <c r="A202" s="713">
        <v>102542</v>
      </c>
      <c r="B202" s="712" t="s">
        <v>7634</v>
      </c>
    </row>
    <row r="203" spans="1:9" s="712" customFormat="1" ht="12.75" x14ac:dyDescent="0.2">
      <c r="A203" s="713">
        <v>247612</v>
      </c>
      <c r="B203" s="711" t="s">
        <v>1060</v>
      </c>
    </row>
    <row r="204" spans="1:9" s="712" customFormat="1" ht="12.75" x14ac:dyDescent="0.2">
      <c r="A204" s="713">
        <v>203364</v>
      </c>
      <c r="B204" s="610" t="s">
        <v>6891</v>
      </c>
    </row>
    <row r="205" spans="1:9" s="712" customFormat="1" ht="12.75" x14ac:dyDescent="0.2">
      <c r="A205" s="713">
        <v>248519</v>
      </c>
      <c r="B205" s="711" t="s">
        <v>4844</v>
      </c>
    </row>
    <row r="206" spans="1:9" s="712" customFormat="1" ht="12.75" x14ac:dyDescent="0.2">
      <c r="A206" s="713">
        <v>79681</v>
      </c>
      <c r="B206" s="711" t="s">
        <v>316</v>
      </c>
    </row>
    <row r="207" spans="1:9" s="712" customFormat="1" ht="12.75" x14ac:dyDescent="0.2">
      <c r="A207" s="713">
        <v>96022</v>
      </c>
      <c r="B207" s="610" t="s">
        <v>6892</v>
      </c>
    </row>
    <row r="208" spans="1:9" s="712" customFormat="1" x14ac:dyDescent="0.25">
      <c r="A208" s="713">
        <v>13608</v>
      </c>
      <c r="B208" s="712" t="s">
        <v>6969</v>
      </c>
      <c r="C208" s="519"/>
      <c r="D208" s="519"/>
      <c r="E208" s="519"/>
      <c r="F208" s="519"/>
      <c r="G208" s="519"/>
      <c r="H208" s="519"/>
      <c r="I208" s="519"/>
    </row>
    <row r="209" spans="1:9" s="712" customFormat="1" ht="12.75" x14ac:dyDescent="0.2">
      <c r="A209" s="713">
        <v>13608</v>
      </c>
      <c r="B209" s="711" t="s">
        <v>7635</v>
      </c>
    </row>
    <row r="210" spans="1:9" s="712" customFormat="1" ht="12.75" x14ac:dyDescent="0.2">
      <c r="A210" s="713">
        <v>63957</v>
      </c>
      <c r="B210" s="711" t="s">
        <v>8040</v>
      </c>
    </row>
    <row r="211" spans="1:9" s="712" customFormat="1" ht="12.75" x14ac:dyDescent="0.2">
      <c r="A211" s="713">
        <v>117417</v>
      </c>
      <c r="B211" s="711" t="s">
        <v>7636</v>
      </c>
    </row>
    <row r="212" spans="1:9" s="712" customFormat="1" ht="12.75" x14ac:dyDescent="0.2">
      <c r="A212" s="713">
        <v>102650</v>
      </c>
      <c r="B212" s="712" t="s">
        <v>1985</v>
      </c>
    </row>
    <row r="213" spans="1:9" s="712" customFormat="1" ht="15" customHeight="1" x14ac:dyDescent="0.25">
      <c r="A213" s="713"/>
      <c r="B213" s="712" t="s">
        <v>7637</v>
      </c>
      <c r="C213" s="519"/>
      <c r="D213" s="519"/>
      <c r="E213" s="519"/>
      <c r="F213" s="519"/>
      <c r="G213" s="519"/>
      <c r="H213" s="519"/>
      <c r="I213" s="519"/>
    </row>
    <row r="214" spans="1:9" s="712" customFormat="1" x14ac:dyDescent="0.25">
      <c r="A214" s="713">
        <v>229476</v>
      </c>
      <c r="B214" s="711" t="s">
        <v>7638</v>
      </c>
      <c r="C214" s="519"/>
      <c r="D214" s="519"/>
      <c r="E214" s="519"/>
      <c r="F214" s="519"/>
      <c r="G214" s="519"/>
      <c r="H214" s="519"/>
      <c r="I214" s="519"/>
    </row>
    <row r="215" spans="1:9" s="712" customFormat="1" ht="15" customHeight="1" x14ac:dyDescent="0.25">
      <c r="A215" s="713">
        <v>58890</v>
      </c>
      <c r="B215" s="711" t="s">
        <v>7508</v>
      </c>
      <c r="C215" s="519"/>
      <c r="D215" s="519"/>
      <c r="E215" s="519"/>
      <c r="F215" s="519"/>
      <c r="G215" s="519"/>
      <c r="H215" s="519"/>
      <c r="I215" s="519"/>
    </row>
    <row r="216" spans="1:9" s="712" customFormat="1" ht="12.75" x14ac:dyDescent="0.2">
      <c r="A216" s="713">
        <v>184812</v>
      </c>
      <c r="B216" s="711" t="s">
        <v>10137</v>
      </c>
    </row>
    <row r="217" spans="1:9" s="712" customFormat="1" ht="14.25" x14ac:dyDescent="0.25">
      <c r="A217" s="713">
        <v>194768</v>
      </c>
      <c r="B217" s="711" t="s">
        <v>8164</v>
      </c>
    </row>
    <row r="218" spans="1:9" s="712" customFormat="1" ht="12.75" x14ac:dyDescent="0.2">
      <c r="A218" s="713">
        <v>31437</v>
      </c>
      <c r="B218" s="610" t="s">
        <v>7639</v>
      </c>
    </row>
    <row r="219" spans="1:9" s="712" customFormat="1" ht="11.25" customHeight="1" x14ac:dyDescent="0.2">
      <c r="A219" s="713">
        <v>73191</v>
      </c>
      <c r="B219" s="711" t="s">
        <v>5539</v>
      </c>
    </row>
    <row r="220" spans="1:9" s="712" customFormat="1" x14ac:dyDescent="0.25">
      <c r="A220" s="713">
        <v>14770</v>
      </c>
      <c r="B220" s="711" t="s">
        <v>1292</v>
      </c>
      <c r="C220" s="711"/>
      <c r="D220" s="519"/>
      <c r="E220" s="519"/>
      <c r="F220" s="519"/>
      <c r="G220" s="519"/>
      <c r="H220" s="519"/>
      <c r="I220" s="519"/>
    </row>
    <row r="221" spans="1:9" s="712" customFormat="1" ht="12.75" x14ac:dyDescent="0.2">
      <c r="A221" s="713">
        <v>192240</v>
      </c>
      <c r="B221" s="610" t="s">
        <v>6893</v>
      </c>
    </row>
    <row r="222" spans="1:9" s="712" customFormat="1" ht="12.75" x14ac:dyDescent="0.2">
      <c r="A222" s="713">
        <v>124181</v>
      </c>
      <c r="B222" s="711" t="s">
        <v>8094</v>
      </c>
    </row>
    <row r="223" spans="1:9" s="712" customFormat="1" ht="12.75" x14ac:dyDescent="0.2">
      <c r="A223" s="713">
        <v>57811</v>
      </c>
      <c r="B223" s="711" t="s">
        <v>5054</v>
      </c>
    </row>
    <row r="224" spans="1:9" s="712" customFormat="1" ht="12.75" x14ac:dyDescent="0.2">
      <c r="A224" s="713">
        <v>121190</v>
      </c>
      <c r="B224" s="711" t="s">
        <v>7640</v>
      </c>
      <c r="C224" s="711"/>
    </row>
    <row r="225" spans="1:9" s="712" customFormat="1" ht="15.75" customHeight="1" x14ac:dyDescent="0.2">
      <c r="A225" s="713">
        <v>249822</v>
      </c>
      <c r="B225" s="711" t="s">
        <v>10160</v>
      </c>
    </row>
    <row r="226" spans="1:9" s="712" customFormat="1" ht="12.75" x14ac:dyDescent="0.2">
      <c r="A226" s="713">
        <v>176710</v>
      </c>
      <c r="B226" s="712" t="s">
        <v>6894</v>
      </c>
    </row>
    <row r="227" spans="1:9" s="712" customFormat="1" ht="12.75" x14ac:dyDescent="0.2">
      <c r="A227" s="713">
        <v>110927</v>
      </c>
      <c r="B227" s="711" t="s">
        <v>1986</v>
      </c>
    </row>
    <row r="228" spans="1:9" s="712" customFormat="1" ht="12.75" x14ac:dyDescent="0.2">
      <c r="A228" s="713">
        <v>56793</v>
      </c>
      <c r="B228" s="711" t="s">
        <v>317</v>
      </c>
    </row>
    <row r="229" spans="1:9" s="712" customFormat="1" ht="12.75" x14ac:dyDescent="0.2">
      <c r="A229" s="713">
        <v>103173</v>
      </c>
      <c r="B229" s="711" t="s">
        <v>4775</v>
      </c>
    </row>
    <row r="230" spans="1:9" s="712" customFormat="1" ht="12.75" x14ac:dyDescent="0.2">
      <c r="A230" s="713">
        <v>192981</v>
      </c>
      <c r="B230" s="712" t="s">
        <v>4852</v>
      </c>
    </row>
    <row r="231" spans="1:9" s="712" customFormat="1" ht="12.75" x14ac:dyDescent="0.2">
      <c r="A231" s="713">
        <v>202895</v>
      </c>
      <c r="B231" s="712" t="s">
        <v>6895</v>
      </c>
    </row>
    <row r="232" spans="1:9" s="712" customFormat="1" x14ac:dyDescent="0.25">
      <c r="A232" s="713">
        <v>232471</v>
      </c>
      <c r="B232" s="712" t="s">
        <v>5547</v>
      </c>
      <c r="C232" s="519"/>
      <c r="D232" s="519"/>
      <c r="E232" s="519"/>
      <c r="F232" s="519"/>
      <c r="G232" s="519"/>
      <c r="H232" s="519"/>
      <c r="I232" s="519"/>
    </row>
    <row r="233" spans="1:9" s="712" customFormat="1" ht="12.75" x14ac:dyDescent="0.2">
      <c r="A233" s="713">
        <v>52395</v>
      </c>
      <c r="B233" s="711" t="s">
        <v>5548</v>
      </c>
    </row>
    <row r="234" spans="1:9" s="712" customFormat="1" ht="12.75" x14ac:dyDescent="0.2">
      <c r="A234" s="713"/>
      <c r="B234" s="711" t="s">
        <v>7641</v>
      </c>
    </row>
    <row r="235" spans="1:9" s="712" customFormat="1" x14ac:dyDescent="0.25">
      <c r="A235" s="774"/>
      <c r="B235" s="711" t="s">
        <v>7511</v>
      </c>
      <c r="C235" s="519"/>
      <c r="D235" s="519"/>
      <c r="E235" s="519"/>
      <c r="F235" s="519"/>
      <c r="G235" s="519"/>
      <c r="H235" s="519"/>
      <c r="I235" s="519"/>
    </row>
    <row r="236" spans="1:9" s="712" customFormat="1" ht="12.75" x14ac:dyDescent="0.2">
      <c r="A236" s="713"/>
      <c r="B236" s="711" t="s">
        <v>7642</v>
      </c>
    </row>
    <row r="237" spans="1:9" s="712" customFormat="1" ht="12.75" x14ac:dyDescent="0.2">
      <c r="A237" s="713"/>
      <c r="B237" s="711" t="s">
        <v>7643</v>
      </c>
    </row>
    <row r="238" spans="1:9" s="712" customFormat="1" x14ac:dyDescent="0.25">
      <c r="A238" s="774"/>
      <c r="B238" s="712" t="s">
        <v>7644</v>
      </c>
    </row>
    <row r="239" spans="1:9" s="712" customFormat="1" ht="12.75" x14ac:dyDescent="0.2">
      <c r="A239" s="713">
        <v>96299</v>
      </c>
      <c r="B239" s="711" t="s">
        <v>7645</v>
      </c>
    </row>
    <row r="240" spans="1:9" s="712" customFormat="1" ht="12.75" x14ac:dyDescent="0.2">
      <c r="A240" s="713">
        <v>74015</v>
      </c>
      <c r="B240" s="711" t="s">
        <v>5552</v>
      </c>
    </row>
    <row r="241" spans="1:9" s="712" customFormat="1" ht="12.75" x14ac:dyDescent="0.2">
      <c r="A241" s="713">
        <v>120533</v>
      </c>
      <c r="B241" s="610" t="s">
        <v>6896</v>
      </c>
    </row>
    <row r="242" spans="1:9" s="712" customFormat="1" ht="12.75" x14ac:dyDescent="0.2">
      <c r="A242" s="713">
        <v>60058</v>
      </c>
      <c r="B242" s="711" t="s">
        <v>323</v>
      </c>
    </row>
    <row r="243" spans="1:9" s="712" customFormat="1" ht="12.75" x14ac:dyDescent="0.2">
      <c r="A243" s="713">
        <v>246448</v>
      </c>
      <c r="B243" s="711" t="s">
        <v>7646</v>
      </c>
    </row>
    <row r="244" spans="1:9" s="712" customFormat="1" ht="12.75" x14ac:dyDescent="0.2">
      <c r="A244" s="713"/>
      <c r="B244" s="775" t="s">
        <v>6853</v>
      </c>
    </row>
    <row r="245" spans="1:9" s="712" customFormat="1" ht="12.75" x14ac:dyDescent="0.2">
      <c r="A245" s="713">
        <v>103729</v>
      </c>
      <c r="B245" s="711" t="s">
        <v>1980</v>
      </c>
    </row>
    <row r="246" spans="1:9" s="712" customFormat="1" ht="12.75" x14ac:dyDescent="0.2">
      <c r="A246" s="713">
        <v>239959</v>
      </c>
      <c r="B246" s="711" t="s">
        <v>6281</v>
      </c>
    </row>
    <row r="247" spans="1:9" s="712" customFormat="1" ht="12.75" x14ac:dyDescent="0.2">
      <c r="A247" s="713">
        <v>80492</v>
      </c>
      <c r="B247" s="711" t="s">
        <v>7647</v>
      </c>
      <c r="C247" s="711"/>
    </row>
    <row r="248" spans="1:9" s="712" customFormat="1" ht="12.75" x14ac:dyDescent="0.2">
      <c r="A248" s="713">
        <v>184421</v>
      </c>
      <c r="B248" s="711" t="s">
        <v>7648</v>
      </c>
    </row>
    <row r="249" spans="1:9" s="712" customFormat="1" ht="12.75" x14ac:dyDescent="0.2">
      <c r="A249" s="713">
        <v>80496</v>
      </c>
      <c r="B249" s="711" t="s">
        <v>7649</v>
      </c>
      <c r="C249" s="711"/>
    </row>
    <row r="250" spans="1:9" s="712" customFormat="1" ht="12.75" x14ac:dyDescent="0.2">
      <c r="A250" s="713">
        <v>114879</v>
      </c>
      <c r="B250" s="711" t="s">
        <v>7650</v>
      </c>
      <c r="C250" s="711"/>
    </row>
    <row r="251" spans="1:9" x14ac:dyDescent="0.25">
      <c r="A251" s="713">
        <v>125165</v>
      </c>
      <c r="B251" s="711" t="s">
        <v>2044</v>
      </c>
      <c r="C251" s="711"/>
      <c r="D251" s="712"/>
      <c r="E251" s="712"/>
      <c r="F251" s="712"/>
      <c r="G251" s="712"/>
      <c r="H251" s="712"/>
      <c r="I251" s="712"/>
    </row>
    <row r="252" spans="1:9" x14ac:dyDescent="0.25">
      <c r="A252" s="713">
        <v>103193</v>
      </c>
      <c r="B252" s="711" t="s">
        <v>1991</v>
      </c>
      <c r="C252" s="712" t="s">
        <v>6375</v>
      </c>
      <c r="D252" s="712" t="s">
        <v>6376</v>
      </c>
      <c r="E252" s="712" t="s">
        <v>6377</v>
      </c>
      <c r="F252" s="712" t="s">
        <v>6378</v>
      </c>
      <c r="G252" s="712" t="s">
        <v>6379</v>
      </c>
      <c r="H252" s="712" t="s">
        <v>6380</v>
      </c>
      <c r="I252" s="712" t="s">
        <v>6381</v>
      </c>
    </row>
    <row r="253" spans="1:9" x14ac:dyDescent="0.25">
      <c r="A253" s="713">
        <v>61077</v>
      </c>
      <c r="B253" s="711" t="s">
        <v>1988</v>
      </c>
      <c r="C253" s="712"/>
      <c r="D253" s="712"/>
      <c r="E253" s="712"/>
      <c r="F253" s="712"/>
      <c r="G253" s="712"/>
      <c r="H253" s="712"/>
      <c r="I253" s="712"/>
    </row>
    <row r="254" spans="1:9" x14ac:dyDescent="0.25">
      <c r="A254" s="713">
        <v>51177</v>
      </c>
      <c r="B254" s="712" t="s">
        <v>7651</v>
      </c>
      <c r="C254" s="712"/>
      <c r="D254" s="712"/>
      <c r="E254" s="712"/>
      <c r="F254" s="712"/>
      <c r="G254" s="712"/>
      <c r="H254" s="712"/>
      <c r="I254" s="712"/>
    </row>
    <row r="255" spans="1:9" x14ac:dyDescent="0.25">
      <c r="A255" s="713">
        <v>17099</v>
      </c>
      <c r="B255" s="711" t="s">
        <v>7904</v>
      </c>
      <c r="C255" s="711"/>
      <c r="D255" s="712"/>
      <c r="E255" s="712"/>
      <c r="F255" s="712"/>
      <c r="G255" s="712"/>
      <c r="H255" s="712"/>
      <c r="I255" s="712"/>
    </row>
    <row r="256" spans="1:9" x14ac:dyDescent="0.25">
      <c r="A256" s="713">
        <v>121269</v>
      </c>
      <c r="B256" s="711" t="s">
        <v>7652</v>
      </c>
      <c r="C256" s="711"/>
      <c r="D256" s="712"/>
      <c r="E256" s="712"/>
      <c r="F256" s="712"/>
      <c r="G256" s="712"/>
      <c r="H256" s="712"/>
      <c r="I256" s="712"/>
    </row>
    <row r="257" spans="1:9" x14ac:dyDescent="0.25">
      <c r="A257" s="713">
        <v>236112</v>
      </c>
      <c r="B257" s="711" t="s">
        <v>7653</v>
      </c>
      <c r="C257" s="711"/>
      <c r="D257" s="712"/>
      <c r="E257" s="712"/>
      <c r="F257" s="712"/>
      <c r="G257" s="712"/>
      <c r="H257" s="712"/>
      <c r="I257" s="712"/>
    </row>
    <row r="258" spans="1:9" x14ac:dyDescent="0.25">
      <c r="A258" s="713">
        <v>133362</v>
      </c>
      <c r="B258" s="712" t="s">
        <v>7654</v>
      </c>
      <c r="C258" s="711"/>
      <c r="D258" s="712"/>
      <c r="E258" s="712"/>
      <c r="F258" s="712"/>
      <c r="G258" s="712"/>
      <c r="H258" s="712"/>
      <c r="I258" s="712"/>
    </row>
    <row r="259" spans="1:9" x14ac:dyDescent="0.25">
      <c r="A259" s="713">
        <v>208822</v>
      </c>
      <c r="B259" s="712" t="s">
        <v>7655</v>
      </c>
      <c r="C259" s="712"/>
      <c r="D259" s="712"/>
      <c r="E259" s="712"/>
      <c r="F259" s="712"/>
      <c r="G259" s="712"/>
      <c r="H259" s="712"/>
      <c r="I259" s="712"/>
    </row>
    <row r="260" spans="1:9" x14ac:dyDescent="0.25">
      <c r="A260" s="713">
        <v>57322</v>
      </c>
      <c r="B260" s="711" t="s">
        <v>1984</v>
      </c>
      <c r="C260" s="712"/>
      <c r="D260" s="712"/>
      <c r="E260" s="712"/>
      <c r="F260" s="712"/>
      <c r="G260" s="712"/>
      <c r="H260" s="712"/>
      <c r="I260" s="712"/>
    </row>
    <row r="261" spans="1:9" x14ac:dyDescent="0.25">
      <c r="A261" s="713">
        <v>96824</v>
      </c>
      <c r="B261" s="711" t="s">
        <v>1157</v>
      </c>
      <c r="C261" s="712"/>
      <c r="D261" s="712"/>
      <c r="E261" s="712"/>
      <c r="F261" s="712"/>
      <c r="G261" s="712"/>
      <c r="H261" s="712"/>
      <c r="I261" s="712"/>
    </row>
    <row r="262" spans="1:9" x14ac:dyDescent="0.25">
      <c r="A262" s="713">
        <v>118864</v>
      </c>
      <c r="B262" s="711" t="s">
        <v>7656</v>
      </c>
      <c r="C262" s="712"/>
      <c r="D262" s="712"/>
      <c r="E262" s="712"/>
      <c r="F262" s="712"/>
      <c r="G262" s="712"/>
      <c r="H262" s="712"/>
      <c r="I262" s="712"/>
    </row>
    <row r="263" spans="1:9" x14ac:dyDescent="0.25">
      <c r="A263" s="713">
        <v>177636</v>
      </c>
      <c r="B263" s="712" t="s">
        <v>6897</v>
      </c>
      <c r="C263" s="712"/>
      <c r="D263" s="712"/>
      <c r="E263" s="712"/>
      <c r="F263" s="712"/>
      <c r="G263" s="712"/>
      <c r="H263" s="712"/>
      <c r="I263" s="712"/>
    </row>
    <row r="264" spans="1:9" x14ac:dyDescent="0.25">
      <c r="A264" s="713">
        <v>220272</v>
      </c>
      <c r="B264" s="711" t="s">
        <v>7657</v>
      </c>
      <c r="C264" s="712"/>
      <c r="D264" s="712"/>
      <c r="E264" s="712"/>
      <c r="F264" s="712"/>
      <c r="G264" s="712"/>
      <c r="H264" s="712"/>
      <c r="I264" s="712"/>
    </row>
    <row r="265" spans="1:9" x14ac:dyDescent="0.25">
      <c r="A265" s="713">
        <v>133919</v>
      </c>
      <c r="B265" s="711" t="s">
        <v>7892</v>
      </c>
      <c r="C265" s="712"/>
      <c r="D265" s="712"/>
      <c r="E265" s="712"/>
      <c r="F265" s="712"/>
      <c r="G265" s="712"/>
      <c r="H265" s="712"/>
      <c r="I265" s="712"/>
    </row>
    <row r="266" spans="1:9" x14ac:dyDescent="0.25">
      <c r="A266" s="713">
        <v>111696</v>
      </c>
      <c r="B266" s="711" t="s">
        <v>4974</v>
      </c>
      <c r="C266" s="712"/>
      <c r="D266" s="712"/>
      <c r="E266" s="712"/>
      <c r="F266" s="712"/>
      <c r="G266" s="712"/>
      <c r="H266" s="712"/>
      <c r="I266" s="712"/>
    </row>
    <row r="267" spans="1:9" x14ac:dyDescent="0.25">
      <c r="A267" s="713">
        <v>124352</v>
      </c>
      <c r="B267" s="711" t="s">
        <v>6898</v>
      </c>
    </row>
    <row r="268" spans="1:9" x14ac:dyDescent="0.25">
      <c r="A268" s="713">
        <v>127934</v>
      </c>
      <c r="B268" s="711" t="s">
        <v>7893</v>
      </c>
      <c r="C268" s="712"/>
      <c r="D268" s="712"/>
      <c r="E268" s="712"/>
      <c r="F268" s="712"/>
      <c r="G268" s="712"/>
      <c r="H268" s="712"/>
      <c r="I268" s="712"/>
    </row>
    <row r="269" spans="1:9" x14ac:dyDescent="0.25">
      <c r="A269" s="713">
        <v>127266</v>
      </c>
      <c r="B269" s="711" t="s">
        <v>6899</v>
      </c>
      <c r="C269" s="712"/>
      <c r="D269" s="712"/>
      <c r="E269" s="712"/>
      <c r="F269" s="712"/>
      <c r="G269" s="712"/>
      <c r="H269" s="712"/>
      <c r="I269" s="712"/>
    </row>
    <row r="270" spans="1:9" x14ac:dyDescent="0.25">
      <c r="B270" s="712" t="s">
        <v>7895</v>
      </c>
      <c r="C270" s="712"/>
      <c r="D270" s="712"/>
      <c r="E270" s="712"/>
      <c r="F270" s="712"/>
      <c r="G270" s="712"/>
      <c r="H270" s="712"/>
      <c r="I270" s="712"/>
    </row>
    <row r="271" spans="1:9" x14ac:dyDescent="0.25">
      <c r="A271" s="713">
        <v>55239</v>
      </c>
      <c r="B271" s="712" t="s">
        <v>7658</v>
      </c>
      <c r="C271" s="776"/>
      <c r="D271" s="712"/>
      <c r="E271" s="712"/>
      <c r="F271" s="712"/>
      <c r="G271" s="712"/>
      <c r="H271" s="712"/>
      <c r="I271" s="712"/>
    </row>
    <row r="272" spans="1:9" x14ac:dyDescent="0.25">
      <c r="A272" s="713">
        <v>239390</v>
      </c>
      <c r="B272" s="711" t="s">
        <v>8479</v>
      </c>
      <c r="C272" s="712"/>
      <c r="D272" s="712"/>
      <c r="E272" s="712"/>
      <c r="F272" s="712"/>
      <c r="G272" s="712"/>
      <c r="H272" s="712"/>
      <c r="I272" s="712"/>
    </row>
    <row r="273" spans="1:9" x14ac:dyDescent="0.25">
      <c r="A273" s="713">
        <v>126291</v>
      </c>
      <c r="B273" s="711" t="s">
        <v>7659</v>
      </c>
      <c r="C273" s="776"/>
      <c r="D273" s="712"/>
      <c r="E273" s="712"/>
      <c r="F273" s="712"/>
      <c r="G273" s="712"/>
      <c r="H273" s="712"/>
      <c r="I273" s="712"/>
    </row>
    <row r="274" spans="1:9" x14ac:dyDescent="0.25">
      <c r="A274" s="713">
        <v>56665</v>
      </c>
      <c r="B274" s="711" t="s">
        <v>6984</v>
      </c>
      <c r="C274" s="711"/>
      <c r="D274" s="712"/>
      <c r="E274" s="712"/>
      <c r="F274" s="712"/>
      <c r="G274" s="712"/>
      <c r="H274" s="712"/>
      <c r="I274" s="712"/>
    </row>
    <row r="275" spans="1:9" x14ac:dyDescent="0.25">
      <c r="A275" s="713">
        <v>122622</v>
      </c>
      <c r="B275" s="711" t="s">
        <v>6900</v>
      </c>
      <c r="C275" s="776"/>
      <c r="D275" s="712"/>
      <c r="E275" s="712"/>
      <c r="F275" s="712"/>
      <c r="G275" s="712"/>
      <c r="H275" s="712"/>
      <c r="I275" s="712"/>
    </row>
    <row r="276" spans="1:9" x14ac:dyDescent="0.25">
      <c r="A276" s="713">
        <v>57941</v>
      </c>
      <c r="B276" s="711" t="s">
        <v>6922</v>
      </c>
      <c r="C276" s="712"/>
      <c r="D276" s="712"/>
      <c r="E276" s="712"/>
      <c r="F276" s="712"/>
      <c r="G276" s="712"/>
      <c r="H276" s="712"/>
      <c r="I276" s="712"/>
    </row>
    <row r="277" spans="1:9" x14ac:dyDescent="0.25">
      <c r="A277" s="713"/>
      <c r="B277" s="712" t="s">
        <v>5546</v>
      </c>
      <c r="C277" s="712"/>
      <c r="D277" s="712"/>
      <c r="E277" s="712"/>
      <c r="F277" s="712"/>
      <c r="G277" s="712"/>
      <c r="H277" s="712"/>
      <c r="I277" s="712"/>
    </row>
    <row r="278" spans="1:9" x14ac:dyDescent="0.25">
      <c r="A278" s="713">
        <v>45864</v>
      </c>
      <c r="B278" s="711" t="s">
        <v>739</v>
      </c>
      <c r="C278" s="712"/>
      <c r="D278" s="712"/>
      <c r="E278" s="712"/>
      <c r="F278" s="712"/>
      <c r="G278" s="712"/>
      <c r="H278" s="712"/>
      <c r="I278" s="712"/>
    </row>
    <row r="279" spans="1:9" ht="15" customHeight="1" x14ac:dyDescent="0.25">
      <c r="A279" s="713">
        <v>95913</v>
      </c>
      <c r="B279" s="711" t="s">
        <v>5551</v>
      </c>
      <c r="C279" s="712"/>
      <c r="D279" s="712"/>
      <c r="E279" s="712"/>
      <c r="F279" s="712"/>
      <c r="G279" s="712"/>
      <c r="H279" s="712"/>
      <c r="I279" s="712"/>
    </row>
    <row r="280" spans="1:9" x14ac:dyDescent="0.25">
      <c r="A280" s="713">
        <v>80497</v>
      </c>
      <c r="B280" s="711" t="s">
        <v>7660</v>
      </c>
      <c r="C280" s="712"/>
      <c r="D280" s="712"/>
      <c r="E280" s="712"/>
      <c r="F280" s="712"/>
      <c r="G280" s="712"/>
      <c r="H280" s="712"/>
      <c r="I280" s="712"/>
    </row>
    <row r="281" spans="1:9" x14ac:dyDescent="0.25">
      <c r="A281" s="713">
        <v>103781</v>
      </c>
      <c r="B281" s="711" t="s">
        <v>553</v>
      </c>
      <c r="C281" s="712"/>
      <c r="D281" s="712"/>
      <c r="E281" s="712"/>
      <c r="F281" s="712"/>
      <c r="G281" s="712"/>
      <c r="H281" s="712"/>
      <c r="I281" s="712"/>
    </row>
    <row r="282" spans="1:9" x14ac:dyDescent="0.25">
      <c r="A282" s="713">
        <v>248177</v>
      </c>
      <c r="B282" s="711" t="s">
        <v>7661</v>
      </c>
      <c r="C282" s="712"/>
      <c r="D282" s="712"/>
      <c r="E282" s="712"/>
      <c r="F282" s="712"/>
      <c r="G282" s="712"/>
      <c r="H282" s="712"/>
      <c r="I282" s="712"/>
    </row>
    <row r="283" spans="1:9" x14ac:dyDescent="0.25">
      <c r="A283" s="713">
        <v>248178</v>
      </c>
      <c r="B283" s="712" t="s">
        <v>3544</v>
      </c>
      <c r="C283" s="712"/>
      <c r="D283" s="712"/>
      <c r="E283" s="712"/>
      <c r="F283" s="712"/>
      <c r="G283" s="712"/>
      <c r="H283" s="712"/>
      <c r="I283" s="712"/>
    </row>
    <row r="284" spans="1:9" x14ac:dyDescent="0.25">
      <c r="A284" s="713">
        <v>80498</v>
      </c>
      <c r="B284" s="711" t="s">
        <v>315</v>
      </c>
      <c r="C284" s="711"/>
      <c r="D284" s="712"/>
      <c r="E284" s="712"/>
      <c r="F284" s="712"/>
      <c r="G284" s="712"/>
      <c r="H284" s="712"/>
      <c r="I284" s="712"/>
    </row>
    <row r="285" spans="1:9" x14ac:dyDescent="0.25">
      <c r="A285" s="713">
        <v>248127</v>
      </c>
      <c r="B285" s="711" t="s">
        <v>6901</v>
      </c>
      <c r="C285" s="712"/>
      <c r="D285" s="712"/>
      <c r="E285" s="712"/>
      <c r="F285" s="712"/>
      <c r="G285" s="712"/>
      <c r="H285" s="712"/>
      <c r="I285" s="712"/>
    </row>
    <row r="286" spans="1:9" x14ac:dyDescent="0.25">
      <c r="A286" s="713">
        <v>103103</v>
      </c>
      <c r="B286" s="711" t="s">
        <v>7662</v>
      </c>
      <c r="C286" s="712"/>
      <c r="D286" s="712"/>
      <c r="E286" s="712"/>
      <c r="F286" s="712"/>
      <c r="G286" s="712"/>
      <c r="H286" s="712"/>
      <c r="I286" s="712"/>
    </row>
    <row r="287" spans="1:9" x14ac:dyDescent="0.25">
      <c r="A287" s="713">
        <v>97120</v>
      </c>
      <c r="B287" s="711" t="s">
        <v>7663</v>
      </c>
      <c r="C287" s="712"/>
      <c r="D287" s="712"/>
      <c r="E287" s="712"/>
      <c r="F287" s="712"/>
      <c r="G287" s="712"/>
      <c r="H287" s="712"/>
      <c r="I287" s="712"/>
    </row>
    <row r="288" spans="1:9" ht="15" customHeight="1" x14ac:dyDescent="0.25">
      <c r="A288" s="713">
        <v>100721</v>
      </c>
      <c r="B288" s="711" t="s">
        <v>1992</v>
      </c>
    </row>
    <row r="289" spans="1:3" x14ac:dyDescent="0.25">
      <c r="A289" s="713"/>
      <c r="B289" s="712" t="s">
        <v>10164</v>
      </c>
      <c r="C289" s="711"/>
    </row>
    <row r="290" spans="1:3" x14ac:dyDescent="0.25">
      <c r="A290" s="713">
        <v>136785</v>
      </c>
      <c r="B290" s="711" t="s">
        <v>6902</v>
      </c>
    </row>
    <row r="291" spans="1:3" x14ac:dyDescent="0.25">
      <c r="A291" s="713">
        <v>243119</v>
      </c>
      <c r="B291" s="711" t="s">
        <v>7664</v>
      </c>
    </row>
    <row r="292" spans="1:3" x14ac:dyDescent="0.25">
      <c r="A292" s="713">
        <v>80480</v>
      </c>
      <c r="B292" s="711" t="s">
        <v>9214</v>
      </c>
    </row>
  </sheetData>
  <sortState xmlns:xlrd2="http://schemas.microsoft.com/office/spreadsheetml/2017/richdata2" ref="A2:I292">
    <sortCondition ref="B2:B292"/>
  </sortState>
  <hyperlinks>
    <hyperlink ref="B80" r:id="rId1" display="javascript:document.detailForm.bibId.value=36312;document.detailForm.submit();" xr:uid="{5EE43ACE-741E-41A0-988C-4D88461581C7}"/>
  </hyperlinks>
  <pageMargins left="0.7" right="0.7" top="0.75" bottom="0.75" header="0.3" footer="0.3"/>
  <pageSetup paperSize="8" scale="4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Slip Rate</vt:lpstr>
      <vt:lpstr>EQ Timings RI</vt:lpstr>
      <vt:lpstr>Single Event Displacement</vt:lpstr>
      <vt:lpstr>Reference List</vt:lpstr>
    </vt:vector>
  </TitlesOfParts>
  <Company>GNS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Litchfield</dc:creator>
  <cp:lastModifiedBy>Nicola Litchfield</cp:lastModifiedBy>
  <cp:lastPrinted>2021-08-09T23:36:58Z</cp:lastPrinted>
  <dcterms:created xsi:type="dcterms:W3CDTF">2020-05-05T22:09:22Z</dcterms:created>
  <dcterms:modified xsi:type="dcterms:W3CDTF">2022-06-09T04:38:32Z</dcterms:modified>
</cp:coreProperties>
</file>